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56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<sst xmlns="http://schemas.openxmlformats.org/spreadsheetml/2006/main" count="674" uniqueCount="459">
  <si>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</si>
  <si>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</si>
  <si>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</si>
  <si>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</si>
  <si>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</si>
  <si>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</si>
  <si>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</si>
  <si>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</si>
  <si>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</si>
  <si>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</si>
  <si>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</si>
  <si>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</si>
  <si>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</si>
  <si>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</si>
  <si>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</si>
  <si>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</si>
  <si>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</si>
  <si>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</si>
  <si>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</si>
  <si>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</si>
  <si>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</si>
  <si>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</si>
  <si>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</si>
  <si>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</si>
  <si>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</si>
  <si>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</si>
  <si>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</si>
  <si>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</si>
  <si>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</si>
  <si>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</si>
  <si>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</si>
  <si>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</si>
  <si>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</si>
  <si>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</si>
  <si>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</si>
  <si>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</si>
  <si>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</si>
  <si>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</si>
  <si>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</si>
  <si>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</si>
  <si>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</si>
  <si>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</si>
  <si>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</si>
  <si>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</si>
  <si>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</si>
  <si>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</si>
  <si>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</si>
  <si>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</si>
  <si>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</si>
  <si>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</si>
  <si>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</si>
  <si>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</si>
  <si>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</si>
  <si>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</si>
  <si>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</si>
  <si>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</si>
  <si>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</si>
  <si>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</si>
  <si>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</si>
  <si>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</si>
  <si>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</si>
  <si>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</si>
  <si>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</si>
  <si>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</si>
  <si>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</si>
  <si>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</si>
  <si>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</si>
  <si>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</si>
  <si>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</si>
  <si>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</si>
  <si>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</si>
  <si>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</si>
  <si>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</si>
  <si>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</si>
  <si>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</si>
  <si>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</si>
  <si>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</si>
  <si>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</si>
  <si>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</si>
  <si>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</si>
  <si>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</si>
  <si>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</si>
  <si>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</si>
  <si>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</si>
  <si>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</si>
  <si>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</si>
  <si>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</si>
  <si>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</si>
  <si>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</si>
  <si>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</si>
  <si>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</si>
  <si>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</si>
  <si>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</si>
  <si>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</si>
  <si>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</si>
  <si>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</si>
  <si>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</si>
  <si>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</si>
  <si>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</si>
  <si>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</si>
  <si>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</si>
  <si>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</si>
  <si>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</si>
  <si>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</si>
  <si>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</si>
  <si>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</si>
  <si>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</si>
  <si>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</si>
  <si>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</si>
  <si>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</si>
  <si>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</si>
  <si>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</si>
  <si>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</si>
  <si>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</si>
  <si>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</si>
  <si>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</si>
  <si>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</si>
  <si>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</si>
  <si>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</si>
  <si>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</si>
  <si>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</si>
  <si>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</si>
  <si>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</si>
  <si>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</si>
  <si>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</si>
  <si>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</si>
  <si>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</si>
  <si>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</si>
  <si>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</si>
  <si>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</si>
  <si>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</si>
  <si>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</si>
  <si>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</si>
  <si>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</si>
  <si>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</si>
  <si>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</si>
  <si>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</si>
  <si>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</si>
  <si>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</si>
  <si>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</si>
  <si>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</si>
  <si>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</si>
  <si>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</si>
  <si>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</si>
  <si>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</si>
  <si>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</si>
  <si>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</si>
  <si>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</si>
  <si>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</si>
  <si>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</si>
  <si>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</si>
  <si>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</si>
  <si>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</si>
  <si>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</si>
  <si>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</si>
  <si>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</si>
  <si>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</si>
  <si>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</si>
  <si>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</si>
  <si>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</si>
  <si>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</si>
  <si>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</si>
  <si>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</si>
  <si>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</si>
  <si>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</si>
  <si>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</si>
  <si>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</si>
  <si>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</si>
  <si>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</si>
  <si>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</si>
  <si>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</si>
  <si>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</si>
  <si>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</si>
  <si>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</si>
  <si>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</si>
  <si>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</si>
  <si>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</si>
  <si>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</si>
  <si>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</si>
  <si>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</si>
  <si>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</si>
  <si>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</si>
  <si>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</si>
  <si>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</si>
  <si>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</si>
  <si>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</si>
  <si>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</si>
  <si>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</si>
  <si>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</si>
  <si>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</si>
  <si>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</si>
  <si>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</si>
  <si>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</si>
  <si>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</si>
  <si>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</si>
  <si>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</si>
  <si>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</si>
  <si>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</si>
  <si>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</si>
  <si>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</si>
  <si>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</si>
  <si>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</si>
  <si>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</si>
  <si>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</si>
  <si>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</si>
  <si>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</si>
  <si>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</si>
  <si>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</si>
  <si>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</si>
  <si>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</si>
  <si>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</si>
  <si>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</si>
  <si>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</si>
  <si>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</si>
  <si>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</si>
  <si>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</si>
  <si>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</si>
  <si>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</si>
  <si>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</si>
  <si>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</si>
  <si>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</si>
  <si>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</si>
  <si>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</si>
  <si>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</si>
  <si>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</si>
  <si>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</si>
  <si>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</si>
  <si>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</si>
  <si>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</si>
  <si>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</si>
  <si>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</si>
  <si>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</si>
  <si>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</si>
  <si>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</si>
  <si>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</si>
  <si>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</si>
  <si>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</si>
  <si>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</si>
  <si>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</si>
  <si>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</si>
  <si>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</si>
  <si>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</si>
  <si>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</si>
  <si>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</si>
  <si>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</si>
  <si>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</si>
  <si>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</si>
  <si>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</si>
  <si>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</si>
  <si>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</si>
  <si>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</si>
  <si>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</si>
  <si>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</si>
  <si>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</si>
  <si>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</si>
  <si>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</si>
  <si>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</si>
  <si>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</si>
  <si>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</si>
  <si>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</si>
  <si>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</si>
  <si>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</si>
  <si>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</si>
  <si>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</si>
  <si>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</si>
  <si>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</si>
  <si>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</si>
  <si>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</si>
  <si>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</si>
  <si>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</si>
  <si>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</si>
  <si>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</si>
  <si>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</si>
  <si>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</si>
  <si>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</si>
  <si>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</si>
  <si>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</si>
  <si>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</si>
  <si>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</si>
  <si>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</si>
  <si>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</si>
  <si>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</si>
  <si>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</si>
  <si>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</si>
  <si>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</si>
  <si>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</si>
  <si>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</si>
  <si>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</si>
  <si>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</si>
  <si>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</si>
  <si>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</si>
  <si>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</si>
  <si>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</si>
  <si>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</si>
  <si>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</si>
  <si>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</si>
  <si>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</si>
  <si>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</si>
  <si>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</si>
  <si>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</si>
  <si>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</si>
  <si>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</si>
  <si>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</si>
  <si>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</si>
  <si>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</si>
  <si>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</si>
  <si>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</si>
  <si>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</si>
  <si>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</si>
  <si>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</si>
  <si>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</si>
  <si>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</si>
  <si>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</si>
  <si>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</si>
  <si>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</si>
  <si>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</si>
  <si>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</si>
  <si>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</si>
  <si>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</si>
  <si>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</si>
  <si>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</si>
  <si>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</si>
  <si>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</si>
  <si>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</si>
  <si>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</si>
  <si>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</si>
  <si>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</si>
  <si>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</si>
  <si>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</si>
  <si>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</si>
  <si>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</si>
  <si>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</si>
  <si>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</si>
  <si>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</si>
  <si>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</si>
  <si>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</si>
  <si>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</si>
  <si>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</si>
  <si>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</si>
  <si>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</si>
  <si>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</si>
  <si>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</si>
  <si>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</si>
  <si>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</si>
  <si>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</si>
  <si>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</si>
  <si>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</si>
  <si>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</si>
  <si>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</si>
  <si>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</si>
  <si>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</si>
  <si>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</si>
  <si>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</si>
  <si>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</si>
  <si>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</si>
  <si>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</si>
  <si>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</si>
  <si>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</si>
  <si>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</si>
  <si>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</si>
  <si>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</si>
  <si>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</si>
  <si>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</si>
  <si>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</si>
  <si>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</si>
  <si>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</si>
  <si>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</si>
  <si>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</si>
  <si>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</si>
  <si>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</si>
  <si>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</si>
  <si>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</si>
  <si>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</si>
  <si>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</si>
  <si>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</si>
  <si>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</si>
  <si>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</si>
  <si>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</si>
  <si>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</si>
  <si>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</si>
  <si>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</si>
  <si>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</si>
  <si>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</si>
  <si>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</si>
  <si>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</si>
  <si>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</si>
  <si>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</si>
  <si>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</si>
  <si>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</si>
  <si>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</si>
  <si>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</si>
  <si>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</si>
  <si>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</si>
  <si>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</si>
  <si>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</si>
  <si>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</si>
  <si>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</si>
  <si>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</si>
  <si>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</si>
  <si>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</si>
  <si>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</si>
  <si>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</si>
  <si>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</si>
  <si>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</si>
  <si>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</si>
  <si>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</si>
  <si>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</si>
  <si>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</si>
  <si>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</si>
  <si>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</si>
  <si>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</si>
  <si>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</si>
  <si>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</si>
  <si>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</si>
  <si>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</si>
  <si>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</si>
  <si>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</si>
  <si>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</si>
  <si>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</si>
  <si>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</si>
  <si>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</si>
  <si>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</si>
  <si>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</si>
  <si>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</si>
  <si>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</si>
  <si>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</si>
  <si>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</si>
  <si>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</si>
  <si>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</si>
  <si>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</si>
  <si>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</si>
  <si>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</si>
  <si>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</si>
  <si>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</si>
  <si>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</si>
  <si>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</si>
  <si>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</si>
  <si>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</si>
  <si>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</si>
  <si>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</si>
  <si>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</si>
  <si>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</si>
  <si>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</si>
  <si>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</si>
  <si>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</si>
  <si>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</si>
  <si>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</si>
  <si>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</si>
  <si>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</si>
  <si>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</si>
  <si>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</si>
  <si>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</si>
  <si>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</si>
  <si>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</si>
  <si>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</si>
  <si>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www.government.bg</t>
  </si>
  <si>
    <t>МИНИСТЕРСКИ СЪВЕТ</t>
  </si>
  <si>
    <t>РОСИЦА БАРЪМОВА</t>
  </si>
  <si>
    <t>ВЕСЕЛИН ДАКОВ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</si>
</sst>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1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2" applyFont="1" applyFill="1" applyAlignment="1" applyProtection="1">
      <alignment horizontal="right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21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21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0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6" xfId="0" applyNumberFormat="1" applyFont="1" applyFill="1" applyBorder="1" applyAlignment="1" applyProtection="1">
      <alignment horizontal="center"/>
      <protection/>
    </xf>
    <xf numFmtId="176" fontId="12" fillId="32" borderId="26" xfId="0" applyNumberFormat="1" applyFont="1" applyFill="1" applyBorder="1" applyAlignment="1" applyProtection="1">
      <alignment horizontal="center"/>
      <protection/>
    </xf>
    <xf numFmtId="176" fontId="32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82" fontId="159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21" fillId="33" borderId="0" xfId="65" applyNumberFormat="1" applyFont="1" applyFill="1" applyBorder="1" applyAlignment="1" applyProtection="1">
      <alignment/>
      <protection/>
    </xf>
    <xf numFmtId="38" fontId="21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21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21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0" xfId="0" applyNumberFormat="1" applyFont="1" applyFill="1" applyBorder="1" applyAlignment="1" applyProtection="1" quotePrefix="1">
      <alignment horizontal="center"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76" fontId="5" fillId="39" borderId="37" xfId="0" applyNumberFormat="1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21" fillId="43" borderId="41" xfId="65" applyNumberFormat="1" applyFont="1" applyFill="1" applyBorder="1" applyAlignment="1" applyProtection="1">
      <alignment/>
      <protection/>
    </xf>
    <xf numFmtId="38" fontId="21" fillId="43" borderId="42" xfId="65" applyNumberFormat="1" applyFont="1" applyFill="1" applyBorder="1" applyAlignment="1" applyProtection="1">
      <alignment/>
      <protection/>
    </xf>
    <xf numFmtId="38" fontId="21" fillId="43" borderId="43" xfId="65" applyNumberFormat="1" applyFont="1" applyFill="1" applyBorder="1" applyAlignment="1" applyProtection="1">
      <alignment/>
      <protection/>
    </xf>
    <xf numFmtId="38" fontId="21" fillId="44" borderId="41" xfId="65" applyNumberFormat="1" applyFont="1" applyFill="1" applyBorder="1" applyAlignment="1" applyProtection="1">
      <alignment/>
      <protection/>
    </xf>
    <xf numFmtId="38" fontId="21" fillId="44" borderId="42" xfId="65" applyNumberFormat="1" applyFont="1" applyFill="1" applyBorder="1" applyAlignment="1" applyProtection="1">
      <alignment/>
      <protection/>
    </xf>
    <xf numFmtId="38" fontId="21" fillId="44" borderId="43" xfId="65" applyNumberFormat="1" applyFont="1" applyFill="1" applyBorder="1" applyAlignment="1" applyProtection="1">
      <alignment/>
      <protection/>
    </xf>
    <xf numFmtId="38" fontId="21" fillId="33" borderId="44" xfId="65" applyNumberFormat="1" applyFont="1" applyFill="1" applyBorder="1" applyAlignment="1" applyProtection="1">
      <alignment/>
      <protection/>
    </xf>
    <xf numFmtId="38" fontId="21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4" fillId="42" borderId="52" xfId="65" applyNumberFormat="1" applyFont="1" applyFill="1" applyBorder="1" applyAlignment="1" applyProtection="1">
      <alignment/>
      <protection/>
    </xf>
    <xf numFmtId="38" fontId="24" fillId="42" borderId="53" xfId="65" applyNumberFormat="1" applyFont="1" applyFill="1" applyBorder="1" applyAlignment="1" applyProtection="1">
      <alignment/>
      <protection/>
    </xf>
    <xf numFmtId="38" fontId="24" fillId="42" borderId="46" xfId="65" applyNumberFormat="1" applyFont="1" applyFill="1" applyBorder="1" applyAlignment="1" applyProtection="1">
      <alignment/>
      <protection/>
    </xf>
    <xf numFmtId="38" fontId="24" fillId="42" borderId="47" xfId="65" applyNumberFormat="1" applyFont="1" applyFill="1" applyBorder="1" applyAlignment="1" applyProtection="1">
      <alignment/>
      <protection/>
    </xf>
    <xf numFmtId="38" fontId="24" fillId="42" borderId="48" xfId="65" applyNumberFormat="1" applyFont="1" applyFill="1" applyBorder="1" applyAlignment="1" applyProtection="1">
      <alignment/>
      <protection/>
    </xf>
    <xf numFmtId="38" fontId="24" fillId="42" borderId="49" xfId="65" applyNumberFormat="1" applyFont="1" applyFill="1" applyBorder="1" applyAlignment="1" applyProtection="1">
      <alignment/>
      <protection/>
    </xf>
    <xf numFmtId="38" fontId="21" fillId="33" borderId="54" xfId="65" applyNumberFormat="1" applyFont="1" applyFill="1" applyBorder="1" applyAlignment="1" applyProtection="1">
      <alignment/>
      <protection/>
    </xf>
    <xf numFmtId="38" fontId="21" fillId="33" borderId="19" xfId="65" applyNumberFormat="1" applyFont="1" applyFill="1" applyBorder="1" applyAlignment="1" applyProtection="1">
      <alignment/>
      <protection/>
    </xf>
    <xf numFmtId="38" fontId="21" fillId="33" borderId="51" xfId="65" applyNumberFormat="1" applyFont="1" applyFill="1" applyBorder="1" applyAlignment="1" applyProtection="1">
      <alignment/>
      <protection/>
    </xf>
    <xf numFmtId="38" fontId="24" fillId="42" borderId="42" xfId="65" applyNumberFormat="1" applyFont="1" applyFill="1" applyBorder="1" applyAlignment="1" applyProtection="1">
      <alignment/>
      <protection/>
    </xf>
    <xf numFmtId="38" fontId="24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85" fontId="160" fillId="33" borderId="26" xfId="0" applyNumberFormat="1" applyFont="1" applyFill="1" applyBorder="1" applyAlignment="1" applyProtection="1">
      <alignment horizontal="center"/>
      <protection locked="0"/>
    </xf>
    <xf numFmtId="185" fontId="160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21" fillId="33" borderId="61" xfId="65" applyNumberFormat="1" applyFont="1" applyFill="1" applyBorder="1" applyAlignment="1" applyProtection="1">
      <alignment/>
      <protection/>
    </xf>
    <xf numFmtId="38" fontId="21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21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4" fillId="42" borderId="50" xfId="65" applyNumberFormat="1" applyFont="1" applyFill="1" applyBorder="1" applyAlignment="1" applyProtection="1">
      <alignment/>
      <protection/>
    </xf>
    <xf numFmtId="38" fontId="24" fillId="42" borderId="58" xfId="65" applyNumberFormat="1" applyFont="1" applyFill="1" applyBorder="1" applyAlignment="1" applyProtection="1">
      <alignment/>
      <protection/>
    </xf>
    <xf numFmtId="38" fontId="24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4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1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7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69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69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3" fillId="42" borderId="69" xfId="0" applyNumberFormat="1" applyFont="1" applyFill="1" applyBorder="1" applyAlignment="1" applyProtection="1">
      <alignment/>
      <protection/>
    </xf>
    <xf numFmtId="186" fontId="4" fillId="42" borderId="69" xfId="0" applyNumberFormat="1" applyFont="1" applyFill="1" applyBorder="1" applyAlignment="1" applyProtection="1">
      <alignment/>
      <protection/>
    </xf>
    <xf numFmtId="186" fontId="3" fillId="42" borderId="71" xfId="0" applyNumberFormat="1" applyFont="1" applyFill="1" applyBorder="1" applyAlignment="1" applyProtection="1">
      <alignment/>
      <protection/>
    </xf>
    <xf numFmtId="186" fontId="4" fillId="42" borderId="71" xfId="0" applyNumberFormat="1" applyFont="1" applyFill="1" applyBorder="1" applyAlignment="1" applyProtection="1">
      <alignment/>
      <protection/>
    </xf>
    <xf numFmtId="186" fontId="3" fillId="42" borderId="72" xfId="0" applyNumberFormat="1" applyFont="1" applyFill="1" applyBorder="1" applyAlignment="1" applyProtection="1">
      <alignment/>
      <protection/>
    </xf>
    <xf numFmtId="186" fontId="4" fillId="42" borderId="72" xfId="0" applyNumberFormat="1" applyFont="1" applyFill="1" applyBorder="1" applyAlignment="1" applyProtection="1">
      <alignment/>
      <protection/>
    </xf>
    <xf numFmtId="186" fontId="3" fillId="42" borderId="73" xfId="0" applyNumberFormat="1" applyFont="1" applyFill="1" applyBorder="1" applyAlignment="1" applyProtection="1">
      <alignment/>
      <protection/>
    </xf>
    <xf numFmtId="186" fontId="4" fillId="42" borderId="73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2" borderId="74" xfId="0" applyNumberFormat="1" applyFont="1" applyFill="1" applyBorder="1" applyAlignment="1" applyProtection="1">
      <alignment/>
      <protection locked="0"/>
    </xf>
    <xf numFmtId="186" fontId="12" fillId="42" borderId="74" xfId="0" applyNumberFormat="1" applyFont="1" applyFill="1" applyBorder="1" applyAlignment="1" applyProtection="1">
      <alignment/>
      <protection locked="0"/>
    </xf>
    <xf numFmtId="186" fontId="32" fillId="42" borderId="72" xfId="0" applyNumberFormat="1" applyFont="1" applyFill="1" applyBorder="1" applyAlignment="1" applyProtection="1">
      <alignment/>
      <protection locked="0"/>
    </xf>
    <xf numFmtId="186" fontId="12" fillId="42" borderId="72" xfId="0" applyNumberFormat="1" applyFont="1" applyFill="1" applyBorder="1" applyAlignment="1" applyProtection="1">
      <alignment/>
      <protection locked="0"/>
    </xf>
    <xf numFmtId="186" fontId="32" fillId="42" borderId="75" xfId="0" applyNumberFormat="1" applyFont="1" applyFill="1" applyBorder="1" applyAlignment="1" applyProtection="1">
      <alignment/>
      <protection locked="0"/>
    </xf>
    <xf numFmtId="186" fontId="12" fillId="42" borderId="75" xfId="0" applyNumberFormat="1" applyFont="1" applyFill="1" applyBorder="1" applyAlignment="1" applyProtection="1">
      <alignment/>
      <protection locked="0"/>
    </xf>
    <xf numFmtId="186" fontId="3" fillId="33" borderId="71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39" borderId="76" xfId="0" applyNumberFormat="1" applyFont="1" applyFill="1" applyBorder="1" applyAlignment="1" applyProtection="1">
      <alignment/>
      <protection/>
    </xf>
    <xf numFmtId="186" fontId="4" fillId="39" borderId="76" xfId="0" applyNumberFormat="1" applyFont="1" applyFill="1" applyBorder="1" applyAlignment="1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 locked="0"/>
    </xf>
    <xf numFmtId="186" fontId="4" fillId="33" borderId="70" xfId="0" applyNumberFormat="1" applyFont="1" applyFill="1" applyBorder="1" applyAlignment="1" applyProtection="1">
      <alignment/>
      <protection locked="0"/>
    </xf>
    <xf numFmtId="186" fontId="3" fillId="44" borderId="10" xfId="0" applyNumberFormat="1" applyFont="1" applyFill="1" applyBorder="1" applyAlignment="1" applyProtection="1">
      <alignment/>
      <protection/>
    </xf>
    <xf numFmtId="186" fontId="4" fillId="44" borderId="10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 locked="0"/>
    </xf>
    <xf numFmtId="186" fontId="4" fillId="33" borderId="75" xfId="0" applyNumberFormat="1" applyFont="1" applyFill="1" applyBorder="1" applyAlignment="1" applyProtection="1">
      <alignment/>
      <protection locked="0"/>
    </xf>
    <xf numFmtId="186" fontId="32" fillId="42" borderId="77" xfId="0" applyNumberFormat="1" applyFont="1" applyFill="1" applyBorder="1" applyAlignment="1" applyProtection="1">
      <alignment/>
      <protection locked="0"/>
    </xf>
    <xf numFmtId="186" fontId="12" fillId="42" borderId="77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4" fillId="46" borderId="76" xfId="0" applyNumberFormat="1" applyFont="1" applyFill="1" applyBorder="1" applyAlignment="1" applyProtection="1">
      <alignment/>
      <protection/>
    </xf>
    <xf numFmtId="186" fontId="3" fillId="5" borderId="76" xfId="0" applyNumberFormat="1" applyFont="1" applyFill="1" applyBorder="1" applyAlignment="1" applyProtection="1">
      <alignment/>
      <protection/>
    </xf>
    <xf numFmtId="186" fontId="4" fillId="5" borderId="76" xfId="0" applyNumberFormat="1" applyFont="1" applyFill="1" applyBorder="1" applyAlignment="1" applyProtection="1">
      <alignment/>
      <protection/>
    </xf>
    <xf numFmtId="186" fontId="3" fillId="46" borderId="76" xfId="0" applyNumberFormat="1" applyFont="1" applyFill="1" applyBorder="1" applyAlignment="1" applyProtection="1">
      <alignment/>
      <protection/>
    </xf>
    <xf numFmtId="186" fontId="3" fillId="45" borderId="73" xfId="0" applyNumberFormat="1" applyFont="1" applyFill="1" applyBorder="1" applyAlignment="1" applyProtection="1">
      <alignment/>
      <protection/>
    </xf>
    <xf numFmtId="186" fontId="4" fillId="45" borderId="73" xfId="0" applyNumberFormat="1" applyFont="1" applyFill="1" applyBorder="1" applyAlignment="1" applyProtection="1">
      <alignment/>
      <protection/>
    </xf>
    <xf numFmtId="186" fontId="3" fillId="33" borderId="78" xfId="0" applyNumberFormat="1" applyFont="1" applyFill="1" applyBorder="1" applyAlignment="1" applyProtection="1">
      <alignment/>
      <protection/>
    </xf>
    <xf numFmtId="186" fontId="4" fillId="33" borderId="78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2" fillId="42" borderId="74" xfId="0" applyNumberFormat="1" applyFont="1" applyFill="1" applyBorder="1" applyAlignment="1" applyProtection="1">
      <alignment/>
      <protection/>
    </xf>
    <xf numFmtId="186" fontId="12" fillId="42" borderId="74" xfId="0" applyNumberFormat="1" applyFont="1" applyFill="1" applyBorder="1" applyAlignment="1" applyProtection="1">
      <alignment/>
      <protection/>
    </xf>
    <xf numFmtId="186" fontId="32" fillId="42" borderId="72" xfId="0" applyNumberFormat="1" applyFont="1" applyFill="1" applyBorder="1" applyAlignment="1" applyProtection="1">
      <alignment/>
      <protection/>
    </xf>
    <xf numFmtId="186" fontId="12" fillId="42" borderId="72" xfId="0" applyNumberFormat="1" applyFont="1" applyFill="1" applyBorder="1" applyAlignment="1" applyProtection="1">
      <alignment/>
      <protection/>
    </xf>
    <xf numFmtId="186" fontId="32" fillId="42" borderId="75" xfId="0" applyNumberFormat="1" applyFont="1" applyFill="1" applyBorder="1" applyAlignment="1" applyProtection="1">
      <alignment/>
      <protection/>
    </xf>
    <xf numFmtId="186" fontId="12" fillId="42" borderId="75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/>
    </xf>
    <xf numFmtId="186" fontId="4" fillId="33" borderId="75" xfId="0" applyNumberFormat="1" applyFont="1" applyFill="1" applyBorder="1" applyAlignment="1" applyProtection="1">
      <alignment/>
      <protection/>
    </xf>
    <xf numFmtId="186" fontId="32" fillId="42" borderId="77" xfId="0" applyNumberFormat="1" applyFont="1" applyFill="1" applyBorder="1" applyAlignment="1" applyProtection="1">
      <alignment/>
      <protection/>
    </xf>
    <xf numFmtId="186" fontId="12" fillId="42" borderId="77" xfId="0" applyNumberFormat="1" applyFont="1" applyFill="1" applyBorder="1" applyAlignment="1" applyProtection="1">
      <alignment/>
      <protection/>
    </xf>
    <xf numFmtId="0" fontId="162" fillId="47" borderId="0" xfId="0" applyFont="1" applyFill="1" applyAlignment="1" applyProtection="1" quotePrefix="1">
      <alignment horizontal="center"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186" fontId="3" fillId="39" borderId="78" xfId="0" applyNumberFormat="1" applyFont="1" applyFill="1" applyBorder="1" applyAlignment="1" applyProtection="1">
      <alignment/>
      <protection/>
    </xf>
    <xf numFmtId="18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21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21" fillId="42" borderId="54" xfId="65" applyNumberFormat="1" applyFont="1" applyFill="1" applyBorder="1" applyAlignment="1" applyProtection="1">
      <alignment horizontal="center"/>
      <protection/>
    </xf>
    <xf numFmtId="38" fontId="21" fillId="42" borderId="19" xfId="65" applyNumberFormat="1" applyFont="1" applyFill="1" applyBorder="1" applyAlignment="1" applyProtection="1">
      <alignment horizontal="center"/>
      <protection/>
    </xf>
    <xf numFmtId="38" fontId="21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4" fillId="42" borderId="41" xfId="65" applyNumberFormat="1" applyFont="1" applyFill="1" applyBorder="1" applyAlignment="1" applyProtection="1">
      <alignment horizontal="center"/>
      <protection/>
    </xf>
    <xf numFmtId="38" fontId="24" fillId="42" borderId="42" xfId="65" applyNumberFormat="1" applyFont="1" applyFill="1" applyBorder="1" applyAlignment="1" applyProtection="1">
      <alignment horizontal="center"/>
      <protection/>
    </xf>
    <xf numFmtId="38" fontId="24" fillId="42" borderId="43" xfId="65" applyNumberFormat="1" applyFont="1" applyFill="1" applyBorder="1" applyAlignment="1" applyProtection="1">
      <alignment horizontal="center"/>
      <protection/>
    </xf>
    <xf numFmtId="38" fontId="21" fillId="33" borderId="54" xfId="65" applyNumberFormat="1" applyFont="1" applyFill="1" applyBorder="1" applyAlignment="1" applyProtection="1">
      <alignment horizontal="center"/>
      <protection/>
    </xf>
    <xf numFmtId="38" fontId="21" fillId="33" borderId="19" xfId="65" applyNumberFormat="1" applyFont="1" applyFill="1" applyBorder="1" applyAlignment="1" applyProtection="1">
      <alignment horizontal="center"/>
      <protection/>
    </xf>
    <xf numFmtId="38" fontId="21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76" fontId="5" fillId="39" borderId="65" xfId="60" applyNumberFormat="1" applyFont="1" applyFill="1" applyBorder="1" applyAlignment="1" applyProtection="1">
      <alignment horizontal="left"/>
      <protection/>
    </xf>
    <xf numFmtId="176" fontId="5" fillId="39" borderId="37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21" fillId="33" borderId="61" xfId="65" applyNumberFormat="1" applyFont="1" applyFill="1" applyBorder="1" applyAlignment="1" applyProtection="1">
      <alignment horizontal="left"/>
      <protection/>
    </xf>
    <xf numFmtId="38" fontId="21" fillId="33" borderId="44" xfId="65" applyNumberFormat="1" applyFont="1" applyFill="1" applyBorder="1" applyAlignment="1" applyProtection="1">
      <alignment horizontal="left"/>
      <protection/>
    </xf>
    <xf numFmtId="38" fontId="21" fillId="33" borderId="45" xfId="65" applyNumberFormat="1" applyFont="1" applyFill="1" applyBorder="1" applyAlignment="1" applyProtection="1">
      <alignment horizontal="left"/>
      <protection/>
    </xf>
    <xf numFmtId="38" fontId="21" fillId="33" borderId="60" xfId="65" applyNumberFormat="1" applyFont="1" applyFill="1" applyBorder="1" applyAlignment="1" applyProtection="1">
      <alignment horizontal="left"/>
      <protection/>
    </xf>
    <xf numFmtId="38" fontId="21" fillId="33" borderId="29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8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86" fontId="3" fillId="33" borderId="83" xfId="0" applyNumberFormat="1" applyFont="1" applyFill="1" applyBorder="1" applyAlignment="1" applyProtection="1">
      <alignment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4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2" borderId="81" xfId="0" applyNumberFormat="1" applyFont="1" applyFill="1" applyBorder="1" applyAlignment="1" applyProtection="1">
      <alignment/>
      <protection/>
    </xf>
    <xf numFmtId="186" fontId="3" fillId="32" borderId="82" xfId="0" applyNumberFormat="1" applyFont="1" applyFill="1" applyBorder="1" applyAlignment="1" applyProtection="1">
      <alignment/>
      <protection/>
    </xf>
    <xf numFmtId="186" fontId="4" fillId="33" borderId="83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3" borderId="85" xfId="0" applyNumberFormat="1" applyFont="1" applyFill="1" applyBorder="1" applyAlignment="1" applyProtection="1">
      <alignment/>
      <protection/>
    </xf>
    <xf numFmtId="186" fontId="4" fillId="42" borderId="83" xfId="0" applyNumberFormat="1" applyFont="1" applyFill="1" applyBorder="1" applyAlignment="1" applyProtection="1">
      <alignment/>
      <protection/>
    </xf>
    <xf numFmtId="186" fontId="3" fillId="42" borderId="84" xfId="0" applyNumberFormat="1" applyFont="1" applyFill="1" applyBorder="1" applyAlignment="1" applyProtection="1">
      <alignment/>
      <protection/>
    </xf>
    <xf numFmtId="186" fontId="4" fillId="42" borderId="89" xfId="0" applyNumberFormat="1" applyFont="1" applyFill="1" applyBorder="1" applyAlignment="1" applyProtection="1">
      <alignment/>
      <protection/>
    </xf>
    <xf numFmtId="186" fontId="3" fillId="42" borderId="90" xfId="0" applyNumberFormat="1" applyFont="1" applyFill="1" applyBorder="1" applyAlignment="1" applyProtection="1">
      <alignment/>
      <protection/>
    </xf>
    <xf numFmtId="186" fontId="4" fillId="42" borderId="87" xfId="0" applyNumberFormat="1" applyFont="1" applyFill="1" applyBorder="1" applyAlignment="1" applyProtection="1">
      <alignment/>
      <protection/>
    </xf>
    <xf numFmtId="186" fontId="3" fillId="42" borderId="91" xfId="0" applyNumberFormat="1" applyFont="1" applyFill="1" applyBorder="1" applyAlignment="1" applyProtection="1">
      <alignment/>
      <protection/>
    </xf>
    <xf numFmtId="186" fontId="4" fillId="42" borderId="88" xfId="0" applyNumberFormat="1" applyFont="1" applyFill="1" applyBorder="1" applyAlignment="1" applyProtection="1">
      <alignment/>
      <protection/>
    </xf>
    <xf numFmtId="186" fontId="3" fillId="42" borderId="92" xfId="0" applyNumberFormat="1" applyFont="1" applyFill="1" applyBorder="1" applyAlignment="1" applyProtection="1">
      <alignment/>
      <protection/>
    </xf>
    <xf numFmtId="186" fontId="12" fillId="42" borderId="93" xfId="0" applyNumberFormat="1" applyFont="1" applyFill="1" applyBorder="1" applyAlignment="1" applyProtection="1">
      <alignment/>
      <protection/>
    </xf>
    <xf numFmtId="186" fontId="12" fillId="42" borderId="87" xfId="0" applyNumberFormat="1" applyFont="1" applyFill="1" applyBorder="1" applyAlignment="1" applyProtection="1">
      <alignment/>
      <protection/>
    </xf>
    <xf numFmtId="186" fontId="12" fillId="42" borderId="94" xfId="0" applyNumberFormat="1" applyFont="1" applyFill="1" applyBorder="1" applyAlignment="1" applyProtection="1">
      <alignment/>
      <protection/>
    </xf>
    <xf numFmtId="186" fontId="3" fillId="33" borderId="90" xfId="0" applyNumberFormat="1" applyFont="1" applyFill="1" applyBorder="1" applyAlignment="1" applyProtection="1">
      <alignment/>
      <protection/>
    </xf>
    <xf numFmtId="186" fontId="4" fillId="39" borderId="95" xfId="0" applyNumberFormat="1" applyFont="1" applyFill="1" applyBorder="1" applyAlignment="1" applyProtection="1">
      <alignment/>
      <protection/>
    </xf>
    <xf numFmtId="186" fontId="3" fillId="39" borderId="96" xfId="0" applyNumberFormat="1" applyFont="1" applyFill="1" applyBorder="1" applyAlignment="1" applyProtection="1">
      <alignment/>
      <protection/>
    </xf>
    <xf numFmtId="186" fontId="4" fillId="44" borderId="81" xfId="0" applyNumberFormat="1" applyFont="1" applyFill="1" applyBorder="1" applyAlignment="1" applyProtection="1">
      <alignment/>
      <protection/>
    </xf>
    <xf numFmtId="186" fontId="3" fillId="44" borderId="82" xfId="0" applyNumberFormat="1" applyFont="1" applyFill="1" applyBorder="1" applyAlignment="1" applyProtection="1">
      <alignment/>
      <protection/>
    </xf>
    <xf numFmtId="186" fontId="4" fillId="33" borderId="94" xfId="0" applyNumberFormat="1" applyFont="1" applyFill="1" applyBorder="1" applyAlignment="1" applyProtection="1">
      <alignment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4" fillId="46" borderId="95" xfId="0" applyNumberFormat="1" applyFont="1" applyFill="1" applyBorder="1" applyAlignment="1" applyProtection="1">
      <alignment/>
      <protection/>
    </xf>
    <xf numFmtId="186" fontId="4" fillId="5" borderId="95" xfId="0" applyNumberFormat="1" applyFont="1" applyFill="1" applyBorder="1" applyAlignment="1" applyProtection="1">
      <alignment/>
      <protection/>
    </xf>
    <xf numFmtId="186" fontId="3" fillId="5" borderId="96" xfId="0" applyNumberFormat="1" applyFont="1" applyFill="1" applyBorder="1" applyAlignment="1" applyProtection="1">
      <alignment/>
      <protection/>
    </xf>
    <xf numFmtId="186" fontId="4" fillId="39" borderId="97" xfId="0" applyNumberFormat="1" applyFont="1" applyFill="1" applyBorder="1" applyAlignment="1" applyProtection="1">
      <alignment/>
      <protection/>
    </xf>
    <xf numFmtId="186" fontId="3" fillId="39" borderId="98" xfId="0" applyNumberFormat="1" applyFont="1" applyFill="1" applyBorder="1" applyAlignment="1" applyProtection="1">
      <alignment/>
      <protection/>
    </xf>
    <xf numFmtId="186" fontId="4" fillId="39" borderId="99" xfId="0" applyNumberFormat="1" applyFont="1" applyFill="1" applyBorder="1" applyAlignment="1" applyProtection="1">
      <alignment/>
      <protection/>
    </xf>
    <xf numFmtId="186" fontId="3" fillId="39" borderId="100" xfId="0" applyNumberFormat="1" applyFont="1" applyFill="1" applyBorder="1" applyAlignment="1" applyProtection="1">
      <alignment/>
      <protection/>
    </xf>
    <xf numFmtId="186" fontId="3" fillId="46" borderId="96" xfId="0" applyNumberFormat="1" applyFont="1" applyFill="1" applyBorder="1" applyAlignment="1" applyProtection="1">
      <alignment/>
      <protection/>
    </xf>
    <xf numFmtId="186" fontId="3" fillId="45" borderId="92" xfId="0" applyNumberFormat="1" applyFont="1" applyFill="1" applyBorder="1" applyAlignment="1" applyProtection="1">
      <alignment/>
      <protection/>
    </xf>
    <xf numFmtId="186" fontId="4" fillId="33" borderId="99" xfId="0" applyNumberFormat="1" applyFont="1" applyFill="1" applyBorder="1" applyAlignment="1" applyProtection="1">
      <alignment/>
      <protection/>
    </xf>
    <xf numFmtId="186" fontId="3" fillId="33" borderId="100" xfId="0" applyNumberFormat="1" applyFont="1" applyFill="1" applyBorder="1" applyAlignment="1" applyProtection="1">
      <alignment/>
      <protection/>
    </xf>
    <xf numFmtId="193" fontId="157" fillId="39" borderId="101" xfId="0" applyNumberFormat="1" applyFont="1" applyFill="1" applyBorder="1" applyAlignment="1" applyProtection="1" quotePrefix="1">
      <alignment horizontal="center"/>
      <protection/>
    </xf>
    <xf numFmtId="193" fontId="163" fillId="40" borderId="101" xfId="0" applyNumberFormat="1" applyFont="1" applyFill="1" applyBorder="1" applyAlignment="1" applyProtection="1" quotePrefix="1">
      <alignment horizontal="center"/>
      <protection/>
    </xf>
    <xf numFmtId="193" fontId="164" fillId="48" borderId="101" xfId="0" applyNumberFormat="1" applyFont="1" applyFill="1" applyBorder="1" applyAlignment="1" applyProtection="1" quotePrefix="1">
      <alignment horizontal="center"/>
      <protection/>
    </xf>
    <xf numFmtId="193" fontId="3" fillId="33" borderId="102" xfId="0" applyNumberFormat="1" applyFont="1" applyFill="1" applyBorder="1" applyAlignment="1" applyProtection="1" quotePrefix="1">
      <alignment horizontal="center"/>
      <protection/>
    </xf>
    <xf numFmtId="184" fontId="21" fillId="38" borderId="103" xfId="0" applyNumberFormat="1" applyFont="1" applyFill="1" applyBorder="1" applyAlignment="1" applyProtection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165" fillId="38" borderId="103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9" fillId="33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3" fillId="33" borderId="55" xfId="0" applyNumberFormat="1" applyFont="1" applyFill="1" applyBorder="1" applyAlignment="1" applyProtection="1">
      <alignment/>
      <protection/>
    </xf>
    <xf numFmtId="0" fontId="53" fillId="33" borderId="55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32" fillId="42" borderId="107" xfId="0" applyNumberFormat="1" applyFont="1" applyFill="1" applyBorder="1" applyAlignment="1" applyProtection="1">
      <alignment/>
      <protection/>
    </xf>
    <xf numFmtId="186" fontId="32" fillId="42" borderId="91" xfId="0" applyNumberFormat="1" applyFont="1" applyFill="1" applyBorder="1" applyAlignment="1" applyProtection="1">
      <alignment/>
      <protection/>
    </xf>
    <xf numFmtId="186" fontId="32" fillId="42" borderId="108" xfId="0" applyNumberFormat="1" applyFont="1" applyFill="1" applyBorder="1" applyAlignment="1" applyProtection="1">
      <alignment/>
      <protection/>
    </xf>
    <xf numFmtId="186" fontId="3" fillId="33" borderId="108" xfId="0" applyNumberFormat="1" applyFont="1" applyFill="1" applyBorder="1" applyAlignment="1" applyProtection="1">
      <alignment/>
      <protection/>
    </xf>
    <xf numFmtId="186" fontId="12" fillId="42" borderId="109" xfId="0" applyNumberFormat="1" applyFont="1" applyFill="1" applyBorder="1" applyAlignment="1" applyProtection="1">
      <alignment/>
      <protection/>
    </xf>
    <xf numFmtId="186" fontId="32" fillId="42" borderId="110" xfId="0" applyNumberFormat="1" applyFont="1" applyFill="1" applyBorder="1" applyAlignment="1" applyProtection="1">
      <alignment/>
      <protection/>
    </xf>
    <xf numFmtId="186" fontId="12" fillId="42" borderId="109" xfId="60" applyNumberFormat="1" applyFont="1" applyFill="1" applyBorder="1" applyAlignment="1" applyProtection="1">
      <alignment/>
      <protection/>
    </xf>
    <xf numFmtId="0" fontId="167" fillId="47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21" fillId="43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49" borderId="26" xfId="64" applyNumberFormat="1" applyFont="1" applyFill="1" applyBorder="1" applyAlignment="1" applyProtection="1">
      <alignment horizontal="center" vertical="center"/>
      <protection locked="0"/>
    </xf>
    <xf numFmtId="176" fontId="151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8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9" fillId="36" borderId="0" xfId="64" applyFont="1" applyFill="1" applyProtection="1">
      <alignment/>
      <protection/>
    </xf>
    <xf numFmtId="17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9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6" xfId="64" applyNumberFormat="1" applyFont="1" applyFill="1" applyBorder="1" applyAlignment="1" applyProtection="1">
      <alignment horizontal="center" vertical="center"/>
      <protection/>
    </xf>
    <xf numFmtId="174" fontId="172" fillId="33" borderId="26" xfId="64" applyNumberFormat="1" applyFont="1" applyFill="1" applyBorder="1" applyAlignment="1" applyProtection="1">
      <alignment horizontal="center" vertical="center"/>
      <protection/>
    </xf>
    <xf numFmtId="0" fontId="16" fillId="33" borderId="26" xfId="64" applyNumberFormat="1" applyFont="1" applyFill="1" applyBorder="1" applyAlignment="1" applyProtection="1">
      <alignment horizontal="center" vertical="center"/>
      <protection/>
    </xf>
    <xf numFmtId="0" fontId="16" fillId="38" borderId="26" xfId="64" applyNumberFormat="1" applyFont="1" applyFill="1" applyBorder="1" applyAlignment="1" applyProtection="1">
      <alignment horizontal="center" vertical="center"/>
      <protection locked="0"/>
    </xf>
    <xf numFmtId="38" fontId="18" fillId="33" borderId="59" xfId="65" applyNumberFormat="1" applyFont="1" applyFill="1" applyBorder="1" applyAlignment="1" applyProtection="1">
      <alignment/>
      <protection/>
    </xf>
    <xf numFmtId="38" fontId="18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86" fontId="6" fillId="33" borderId="60" xfId="0" applyNumberFormat="1" applyFont="1" applyFill="1" applyBorder="1" applyAlignment="1" applyProtection="1">
      <alignment horizontal="right"/>
      <protection/>
    </xf>
    <xf numFmtId="186" fontId="6" fillId="32" borderId="60" xfId="0" applyNumberFormat="1" applyFont="1" applyFill="1" applyBorder="1" applyAlignment="1" applyProtection="1">
      <alignment horizontal="right"/>
      <protection/>
    </xf>
    <xf numFmtId="182" fontId="4" fillId="33" borderId="111" xfId="0" applyNumberFormat="1" applyFont="1" applyFill="1" applyBorder="1" applyAlignment="1" applyProtection="1" quotePrefix="1">
      <alignment horizontal="center" wrapText="1"/>
      <protection/>
    </xf>
    <xf numFmtId="186" fontId="3" fillId="45" borderId="88" xfId="0" applyNumberFormat="1" applyFont="1" applyFill="1" applyBorder="1" applyAlignment="1" applyProtection="1">
      <alignment/>
      <protection/>
    </xf>
    <xf numFmtId="176" fontId="173" fillId="33" borderId="70" xfId="0" applyNumberFormat="1" applyFont="1" applyFill="1" applyBorder="1" applyAlignment="1" applyProtection="1" quotePrefix="1">
      <alignment/>
      <protection/>
    </xf>
    <xf numFmtId="176" fontId="174" fillId="33" borderId="70" xfId="0" applyNumberFormat="1" applyFont="1" applyFill="1" applyBorder="1" applyAlignment="1" applyProtection="1" quotePrefix="1">
      <alignment/>
      <protection/>
    </xf>
    <xf numFmtId="176" fontId="173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5" xfId="0" applyNumberFormat="1" applyFont="1" applyFill="1" applyBorder="1" applyAlignment="1" applyProtection="1" quotePrefix="1">
      <alignment/>
      <protection/>
    </xf>
    <xf numFmtId="176" fontId="173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5" xfId="0" applyNumberFormat="1" applyFont="1" applyFill="1" applyBorder="1" applyAlignment="1" applyProtection="1" quotePrefix="1">
      <alignment/>
      <protection/>
    </xf>
    <xf numFmtId="176" fontId="174" fillId="32" borderId="31" xfId="0" applyNumberFormat="1" applyFont="1" applyFill="1" applyBorder="1" applyAlignment="1" applyProtection="1" quotePrefix="1">
      <alignment/>
      <protection/>
    </xf>
    <xf numFmtId="176" fontId="173" fillId="33" borderId="85" xfId="0" applyNumberFormat="1" applyFont="1" applyFill="1" applyBorder="1" applyAlignment="1" applyProtection="1" quotePrefix="1">
      <alignment/>
      <protection/>
    </xf>
    <xf numFmtId="176" fontId="174" fillId="33" borderId="86" xfId="0" applyNumberFormat="1" applyFont="1" applyFill="1" applyBorder="1" applyAlignment="1" applyProtection="1" quotePrefix="1">
      <alignment/>
      <protection/>
    </xf>
    <xf numFmtId="176" fontId="174" fillId="33" borderId="31" xfId="0" applyNumberFormat="1" applyFont="1" applyFill="1" applyBorder="1" applyAlignment="1" applyProtection="1" quotePrefix="1">
      <alignment/>
      <protection/>
    </xf>
    <xf numFmtId="0" fontId="33" fillId="33" borderId="116" xfId="64" applyFont="1" applyFill="1" applyBorder="1" applyProtection="1">
      <alignment/>
      <protection/>
    </xf>
    <xf numFmtId="0" fontId="33" fillId="33" borderId="42" xfId="64" applyFont="1" applyFill="1" applyBorder="1" applyProtection="1">
      <alignment/>
      <protection/>
    </xf>
    <xf numFmtId="0" fontId="33" fillId="33" borderId="28" xfId="64" applyFont="1" applyFill="1" applyBorder="1" applyProtection="1">
      <alignment/>
      <protection/>
    </xf>
    <xf numFmtId="184" fontId="37" fillId="50" borderId="117" xfId="0" applyNumberFormat="1" applyFont="1" applyFill="1" applyBorder="1" applyAlignment="1" applyProtection="1">
      <alignment horizontal="center"/>
      <protection/>
    </xf>
    <xf numFmtId="184" fontId="38" fillId="41" borderId="117" xfId="0" applyNumberFormat="1" applyFont="1" applyFill="1" applyBorder="1" applyAlignment="1" applyProtection="1">
      <alignment horizontal="center"/>
      <protection/>
    </xf>
    <xf numFmtId="184" fontId="175" fillId="50" borderId="117" xfId="0" applyNumberFormat="1" applyFont="1" applyFill="1" applyBorder="1" applyAlignment="1" applyProtection="1">
      <alignment horizontal="center"/>
      <protection/>
    </xf>
    <xf numFmtId="184" fontId="176" fillId="41" borderId="117" xfId="0" applyNumberFormat="1" applyFont="1" applyFill="1" applyBorder="1" applyAlignment="1" applyProtection="1">
      <alignment horizontal="center"/>
      <protection/>
    </xf>
    <xf numFmtId="184" fontId="37" fillId="51" borderId="117" xfId="0" applyNumberFormat="1" applyFont="1" applyFill="1" applyBorder="1" applyAlignment="1" applyProtection="1">
      <alignment horizontal="center"/>
      <protection/>
    </xf>
    <xf numFmtId="184" fontId="38" fillId="51" borderId="117" xfId="0" applyNumberFormat="1" applyFont="1" applyFill="1" applyBorder="1" applyAlignment="1" applyProtection="1">
      <alignment horizontal="center"/>
      <protection/>
    </xf>
    <xf numFmtId="184" fontId="177" fillId="51" borderId="117" xfId="0" applyNumberFormat="1" applyFont="1" applyFill="1" applyBorder="1" applyAlignment="1" applyProtection="1">
      <alignment horizontal="center"/>
      <protection/>
    </xf>
    <xf numFmtId="184" fontId="176" fillId="51" borderId="117" xfId="0" applyNumberFormat="1" applyFont="1" applyFill="1" applyBorder="1" applyAlignment="1" applyProtection="1">
      <alignment horizontal="center"/>
      <protection/>
    </xf>
    <xf numFmtId="184" fontId="37" fillId="52" borderId="117" xfId="0" applyNumberFormat="1" applyFont="1" applyFill="1" applyBorder="1" applyAlignment="1" applyProtection="1">
      <alignment horizontal="center"/>
      <protection/>
    </xf>
    <xf numFmtId="184" fontId="38" fillId="52" borderId="117" xfId="0" applyNumberFormat="1" applyFont="1" applyFill="1" applyBorder="1" applyAlignment="1" applyProtection="1">
      <alignment horizontal="center"/>
      <protection/>
    </xf>
    <xf numFmtId="184" fontId="178" fillId="52" borderId="117" xfId="0" applyNumberFormat="1" applyFont="1" applyFill="1" applyBorder="1" applyAlignment="1" applyProtection="1">
      <alignment horizontal="center"/>
      <protection/>
    </xf>
    <xf numFmtId="184" fontId="179" fillId="52" borderId="117" xfId="0" applyNumberFormat="1" applyFont="1" applyFill="1" applyBorder="1" applyAlignment="1" applyProtection="1">
      <alignment horizontal="center"/>
      <protection/>
    </xf>
    <xf numFmtId="184" fontId="21" fillId="38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165" fillId="38" borderId="118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76" fontId="12" fillId="32" borderId="118" xfId="0" applyNumberFormat="1" applyFont="1" applyFill="1" applyBorder="1" applyAlignment="1" applyProtection="1">
      <alignment horizontal="center"/>
      <protection/>
    </xf>
    <xf numFmtId="176" fontId="32" fillId="32" borderId="105" xfId="0" applyNumberFormat="1" applyFont="1" applyFill="1" applyBorder="1" applyAlignment="1" applyProtection="1">
      <alignment horizontal="center"/>
      <protection/>
    </xf>
    <xf numFmtId="176" fontId="12" fillId="41" borderId="119" xfId="0" applyNumberFormat="1" applyFont="1" applyFill="1" applyBorder="1" applyAlignment="1" applyProtection="1">
      <alignment horizontal="center"/>
      <protection locked="0"/>
    </xf>
    <xf numFmtId="176" fontId="32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80" fillId="42" borderId="41" xfId="65" applyNumberFormat="1" applyFont="1" applyFill="1" applyBorder="1" applyAlignment="1" applyProtection="1">
      <alignment/>
      <protection/>
    </xf>
    <xf numFmtId="186" fontId="4" fillId="45" borderId="70" xfId="0" applyNumberFormat="1" applyFont="1" applyFill="1" applyBorder="1" applyAlignment="1" applyProtection="1">
      <alignment/>
      <protection/>
    </xf>
    <xf numFmtId="186" fontId="3" fillId="45" borderId="70" xfId="0" applyNumberFormat="1" applyFont="1" applyFill="1" applyBorder="1" applyAlignment="1" applyProtection="1">
      <alignment/>
      <protection/>
    </xf>
    <xf numFmtId="186" fontId="4" fillId="45" borderId="85" xfId="0" applyNumberFormat="1" applyFont="1" applyFill="1" applyBorder="1" applyAlignment="1" applyProtection="1">
      <alignment/>
      <protection/>
    </xf>
    <xf numFmtId="186" fontId="3" fillId="45" borderId="86" xfId="0" applyNumberFormat="1" applyFont="1" applyFill="1" applyBorder="1" applyAlignment="1" applyProtection="1">
      <alignment/>
      <protection/>
    </xf>
    <xf numFmtId="186" fontId="12" fillId="42" borderId="81" xfId="0" applyNumberFormat="1" applyFont="1" applyFill="1" applyBorder="1" applyAlignment="1" applyProtection="1">
      <alignment/>
      <protection/>
    </xf>
    <xf numFmtId="186" fontId="32" fillId="42" borderId="82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/>
    </xf>
    <xf numFmtId="186" fontId="32" fillId="42" borderId="10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 locked="0"/>
    </xf>
    <xf numFmtId="186" fontId="32" fillId="42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21" fillId="32" borderId="54" xfId="65" applyNumberFormat="1" applyFont="1" applyFill="1" applyBorder="1" applyAlignment="1" applyProtection="1">
      <alignment/>
      <protection/>
    </xf>
    <xf numFmtId="38" fontId="21" fillId="32" borderId="19" xfId="65" applyNumberFormat="1" applyFont="1" applyFill="1" applyBorder="1" applyAlignment="1" applyProtection="1">
      <alignment/>
      <protection/>
    </xf>
    <xf numFmtId="186" fontId="4" fillId="32" borderId="55" xfId="0" applyNumberFormat="1" applyFont="1" applyFill="1" applyBorder="1" applyAlignment="1" applyProtection="1">
      <alignment/>
      <protection/>
    </xf>
    <xf numFmtId="186" fontId="3" fillId="32" borderId="55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0" xfId="0" applyNumberFormat="1" applyFont="1" applyFill="1" applyBorder="1" applyAlignment="1" applyProtection="1">
      <alignment/>
      <protection/>
    </xf>
    <xf numFmtId="38" fontId="21" fillId="32" borderId="115" xfId="65" applyNumberFormat="1" applyFont="1" applyFill="1" applyBorder="1" applyAlignment="1" applyProtection="1">
      <alignment/>
      <protection/>
    </xf>
    <xf numFmtId="18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86" fontId="4" fillId="33" borderId="124" xfId="0" applyNumberFormat="1" applyFont="1" applyFill="1" applyBorder="1" applyAlignment="1" applyProtection="1">
      <alignment/>
      <protection/>
    </xf>
    <xf numFmtId="18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199" fontId="24" fillId="32" borderId="68" xfId="58" applyNumberFormat="1" applyFont="1" applyFill="1" applyBorder="1" applyAlignment="1">
      <alignment/>
      <protection/>
    </xf>
    <xf numFmtId="199" fontId="24" fillId="32" borderId="18" xfId="58" applyNumberFormat="1" applyFont="1" applyFill="1" applyBorder="1" applyAlignment="1">
      <alignment/>
      <protection/>
    </xf>
    <xf numFmtId="199" fontId="24" fillId="32" borderId="21" xfId="58" applyNumberFormat="1" applyFont="1" applyFill="1" applyBorder="1" applyAlignment="1">
      <alignment/>
      <protection/>
    </xf>
    <xf numFmtId="199" fontId="24" fillId="44" borderId="68" xfId="58" applyNumberFormat="1" applyFont="1" applyFill="1" applyBorder="1" applyAlignment="1">
      <alignment/>
      <protection/>
    </xf>
    <xf numFmtId="199" fontId="24" fillId="44" borderId="18" xfId="58" applyNumberFormat="1" applyFont="1" applyFill="1" applyBorder="1" applyAlignment="1">
      <alignment/>
      <protection/>
    </xf>
    <xf numFmtId="199" fontId="24" fillId="44" borderId="21" xfId="58" applyNumberFormat="1" applyFont="1" applyFill="1" applyBorder="1" applyAlignment="1">
      <alignment/>
      <protection/>
    </xf>
    <xf numFmtId="203" fontId="24" fillId="33" borderId="0" xfId="57" applyNumberFormat="1" applyFont="1" applyFill="1" applyBorder="1" applyAlignment="1">
      <alignment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82" fontId="181" fillId="39" borderId="26" xfId="0" applyNumberFormat="1" applyFont="1" applyFill="1" applyBorder="1" applyAlignment="1" applyProtection="1">
      <alignment horizontal="center"/>
      <protection/>
    </xf>
    <xf numFmtId="182" fontId="182" fillId="39" borderId="26" xfId="0" applyNumberFormat="1" applyFont="1" applyFill="1" applyBorder="1" applyAlignment="1" applyProtection="1">
      <alignment horizontal="center"/>
      <protection/>
    </xf>
    <xf numFmtId="193" fontId="157" fillId="39" borderId="26" xfId="0" applyNumberFormat="1" applyFont="1" applyFill="1" applyBorder="1" applyAlignment="1" applyProtection="1" quotePrefix="1">
      <alignment horizontal="center"/>
      <protection/>
    </xf>
    <xf numFmtId="181" fontId="158" fillId="40" borderId="26" xfId="0" applyNumberFormat="1" applyFont="1" applyFill="1" applyBorder="1" applyAlignment="1" applyProtection="1" quotePrefix="1">
      <alignment horizontal="center"/>
      <protection/>
    </xf>
    <xf numFmtId="193" fontId="163" fillId="40" borderId="26" xfId="0" applyNumberFormat="1" applyFont="1" applyFill="1" applyBorder="1" applyAlignment="1" applyProtection="1" quotePrefix="1">
      <alignment horizontal="center"/>
      <protection/>
    </xf>
    <xf numFmtId="181" fontId="163" fillId="40" borderId="26" xfId="0" applyNumberFormat="1" applyFont="1" applyFill="1" applyBorder="1" applyAlignment="1" applyProtection="1" quotePrefix="1">
      <alignment horizontal="center"/>
      <protection/>
    </xf>
    <xf numFmtId="181" fontId="170" fillId="48" borderId="26" xfId="0" applyNumberFormat="1" applyFont="1" applyFill="1" applyBorder="1" applyAlignment="1" applyProtection="1" quotePrefix="1">
      <alignment horizontal="center"/>
      <protection/>
    </xf>
    <xf numFmtId="193" fontId="164" fillId="48" borderId="26" xfId="0" applyNumberFormat="1" applyFont="1" applyFill="1" applyBorder="1" applyAlignment="1" applyProtection="1" quotePrefix="1">
      <alignment horizontal="center"/>
      <protection/>
    </xf>
    <xf numFmtId="186" fontId="4" fillId="33" borderId="26" xfId="0" applyNumberFormat="1" applyFont="1" applyFill="1" applyBorder="1" applyAlignment="1" applyProtection="1">
      <alignment/>
      <protection locked="0"/>
    </xf>
    <xf numFmtId="186" fontId="3" fillId="33" borderId="26" xfId="0" applyNumberFormat="1" applyFont="1" applyFill="1" applyBorder="1" applyAlignment="1" applyProtection="1">
      <alignment/>
      <protection locked="0"/>
    </xf>
    <xf numFmtId="38" fontId="183" fillId="47" borderId="27" xfId="65" applyNumberFormat="1" applyFont="1" applyFill="1" applyBorder="1" applyAlignment="1" applyProtection="1">
      <alignment/>
      <protection/>
    </xf>
    <xf numFmtId="186" fontId="4" fillId="54" borderId="26" xfId="0" applyNumberFormat="1" applyFont="1" applyFill="1" applyBorder="1" applyAlignment="1" applyProtection="1">
      <alignment/>
      <protection/>
    </xf>
    <xf numFmtId="18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2" fillId="41" borderId="27" xfId="0" applyFont="1" applyFill="1" applyBorder="1" applyAlignment="1" applyProtection="1">
      <alignment horizontal="left"/>
      <protection/>
    </xf>
    <xf numFmtId="186" fontId="4" fillId="54" borderId="127" xfId="0" applyNumberFormat="1" applyFont="1" applyFill="1" applyBorder="1" applyAlignment="1" applyProtection="1">
      <alignment/>
      <protection/>
    </xf>
    <xf numFmtId="186" fontId="3" fillId="54" borderId="128" xfId="0" applyNumberFormat="1" applyFont="1" applyFill="1" applyBorder="1" applyAlignment="1" applyProtection="1">
      <alignment/>
      <protection/>
    </xf>
    <xf numFmtId="186" fontId="4" fillId="33" borderId="127" xfId="0" applyNumberFormat="1" applyFont="1" applyFill="1" applyBorder="1" applyAlignment="1" applyProtection="1">
      <alignment/>
      <protection/>
    </xf>
    <xf numFmtId="186" fontId="3" fillId="33" borderId="128" xfId="0" applyNumberFormat="1" applyFont="1" applyFill="1" applyBorder="1" applyAlignment="1" applyProtection="1">
      <alignment/>
      <protection/>
    </xf>
    <xf numFmtId="181" fontId="4" fillId="33" borderId="118" xfId="0" applyNumberFormat="1" applyFont="1" applyFill="1" applyBorder="1" applyAlignment="1" applyProtection="1" quotePrefix="1">
      <alignment horizontal="center"/>
      <protection/>
    </xf>
    <xf numFmtId="193" fontId="3" fillId="33" borderId="105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97" fontId="20" fillId="54" borderId="19" xfId="58" applyNumberFormat="1" applyFont="1" applyFill="1" applyBorder="1" applyAlignment="1">
      <alignment/>
      <protection/>
    </xf>
    <xf numFmtId="197" fontId="20" fillId="54" borderId="68" xfId="58" applyNumberFormat="1" applyFont="1" applyFill="1" applyBorder="1" applyAlignment="1">
      <alignment/>
      <protection/>
    </xf>
    <xf numFmtId="197" fontId="20" fillId="54" borderId="20" xfId="58" applyNumberFormat="1" applyFont="1" applyFill="1" applyBorder="1" applyAlignment="1">
      <alignment/>
      <protection/>
    </xf>
    <xf numFmtId="197" fontId="20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1" xfId="0" applyNumberFormat="1" applyFont="1" applyFill="1" applyBorder="1" applyAlignment="1" applyProtection="1" quotePrefix="1">
      <alignment horizontal="center"/>
      <protection/>
    </xf>
    <xf numFmtId="213" fontId="158" fillId="40" borderId="101" xfId="0" applyNumberFormat="1" applyFont="1" applyFill="1" applyBorder="1" applyAlignment="1" applyProtection="1" quotePrefix="1">
      <alignment horizontal="center"/>
      <protection/>
    </xf>
    <xf numFmtId="213" fontId="170" fillId="48" borderId="101" xfId="0" applyNumberFormat="1" applyFont="1" applyFill="1" applyBorder="1" applyAlignment="1" applyProtection="1" quotePrefix="1">
      <alignment horizontal="center"/>
      <protection/>
    </xf>
    <xf numFmtId="213" fontId="4" fillId="33" borderId="129" xfId="0" applyNumberFormat="1" applyFont="1" applyFill="1" applyBorder="1" applyAlignment="1" applyProtection="1" quotePrefix="1">
      <alignment horizontal="center"/>
      <protection/>
    </xf>
    <xf numFmtId="213" fontId="185" fillId="32" borderId="44" xfId="0" applyNumberFormat="1" applyFont="1" applyFill="1" applyBorder="1" applyAlignment="1" applyProtection="1">
      <alignment horizontal="center"/>
      <protection locked="0"/>
    </xf>
    <xf numFmtId="213" fontId="184" fillId="39" borderId="26" xfId="0" applyNumberFormat="1" applyFont="1" applyFill="1" applyBorder="1" applyAlignment="1" applyProtection="1">
      <alignment horizontal="center"/>
      <protection/>
    </xf>
    <xf numFmtId="213" fontId="158" fillId="40" borderId="26" xfId="0" applyNumberFormat="1" applyFont="1" applyFill="1" applyBorder="1" applyAlignment="1" applyProtection="1" quotePrefix="1">
      <alignment horizontal="center"/>
      <protection/>
    </xf>
    <xf numFmtId="213" fontId="170" fillId="48" borderId="26" xfId="0" applyNumberFormat="1" applyFont="1" applyFill="1" applyBorder="1" applyAlignment="1" applyProtection="1" quotePrefix="1">
      <alignment horizontal="center"/>
      <protection/>
    </xf>
    <xf numFmtId="213" fontId="4" fillId="33" borderId="119" xfId="0" applyNumberFormat="1" applyFont="1" applyFill="1" applyBorder="1" applyAlignment="1" applyProtection="1" quotePrefix="1">
      <alignment horizontal="center"/>
      <protection/>
    </xf>
    <xf numFmtId="213" fontId="186" fillId="33" borderId="44" xfId="0" applyNumberFormat="1" applyFont="1" applyFill="1" applyBorder="1" applyAlignment="1" applyProtection="1">
      <alignment horizontal="center"/>
      <protection/>
    </xf>
    <xf numFmtId="202" fontId="24" fillId="33" borderId="0" xfId="57" applyNumberFormat="1" applyFont="1" applyFill="1" applyBorder="1" applyAlignment="1">
      <alignment horizontal="center"/>
      <protection/>
    </xf>
    <xf numFmtId="181" fontId="24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1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8" fontId="24" fillId="32" borderId="0" xfId="57" applyNumberFormat="1" applyFont="1" applyFill="1" applyBorder="1" applyAlignment="1">
      <alignment horizontal="left"/>
      <protection/>
    </xf>
    <xf numFmtId="178" fontId="26" fillId="44" borderId="0" xfId="57" applyNumberFormat="1" applyFont="1" applyFill="1" applyBorder="1" applyAlignment="1">
      <alignment horizontal="center"/>
      <protection/>
    </xf>
    <xf numFmtId="181" fontId="26" fillId="44" borderId="0" xfId="57" applyNumberFormat="1" applyFont="1" applyFill="1" applyBorder="1" applyAlignment="1">
      <alignment horizontal="center"/>
      <protection/>
    </xf>
    <xf numFmtId="17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4" fillId="44" borderId="0" xfId="57" applyNumberFormat="1" applyFont="1" applyFill="1" applyBorder="1" applyAlignment="1">
      <alignment horizontal="center"/>
      <protection/>
    </xf>
    <xf numFmtId="181" fontId="16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 quotePrefix="1">
      <alignment/>
      <protection/>
    </xf>
    <xf numFmtId="197" fontId="16" fillId="33" borderId="0" xfId="58" applyNumberFormat="1" applyFont="1" applyFill="1" applyBorder="1" applyAlignment="1">
      <alignment horizontal="left"/>
      <protection/>
    </xf>
    <xf numFmtId="0" fontId="16" fillId="32" borderId="67" xfId="57" applyFont="1" applyFill="1" applyBorder="1" quotePrefix="1">
      <alignment/>
      <protection/>
    </xf>
    <xf numFmtId="0" fontId="16" fillId="32" borderId="19" xfId="57" applyFont="1" applyFill="1" applyBorder="1" quotePrefix="1">
      <alignment/>
      <protection/>
    </xf>
    <xf numFmtId="0" fontId="16" fillId="32" borderId="17" xfId="57" applyFont="1" applyFill="1" applyBorder="1" quotePrefix="1">
      <alignment/>
      <protection/>
    </xf>
    <xf numFmtId="0" fontId="16" fillId="32" borderId="0" xfId="57" applyFont="1" applyFill="1" applyBorder="1" quotePrefix="1">
      <alignment/>
      <protection/>
    </xf>
    <xf numFmtId="0" fontId="16" fillId="32" borderId="25" xfId="57" applyFont="1" applyFill="1" applyBorder="1" quotePrefix="1">
      <alignment/>
      <protection/>
    </xf>
    <xf numFmtId="0" fontId="16" fillId="32" borderId="20" xfId="57" applyFont="1" applyFill="1" applyBorder="1" quotePrefix="1">
      <alignment/>
      <protection/>
    </xf>
    <xf numFmtId="0" fontId="16" fillId="44" borderId="67" xfId="57" applyFont="1" applyFill="1" applyBorder="1" quotePrefix="1">
      <alignment/>
      <protection/>
    </xf>
    <xf numFmtId="0" fontId="16" fillId="44" borderId="19" xfId="57" applyFont="1" applyFill="1" applyBorder="1" quotePrefix="1">
      <alignment/>
      <protection/>
    </xf>
    <xf numFmtId="0" fontId="16" fillId="44" borderId="17" xfId="57" applyFont="1" applyFill="1" applyBorder="1" quotePrefix="1">
      <alignment/>
      <protection/>
    </xf>
    <xf numFmtId="0" fontId="16" fillId="44" borderId="0" xfId="57" applyFont="1" applyFill="1" applyBorder="1" quotePrefix="1">
      <alignment/>
      <protection/>
    </xf>
    <xf numFmtId="0" fontId="16" fillId="44" borderId="25" xfId="57" applyFont="1" applyFill="1" applyBorder="1" quotePrefix="1">
      <alignment/>
      <protection/>
    </xf>
    <xf numFmtId="0" fontId="16" fillId="44" borderId="20" xfId="57" applyFont="1" applyFill="1" applyBorder="1" quotePrefix="1">
      <alignment/>
      <protection/>
    </xf>
    <xf numFmtId="197" fontId="16" fillId="33" borderId="0" xfId="58" applyNumberFormat="1" applyFont="1" applyFill="1" applyBorder="1" applyAlignment="1">
      <alignment/>
      <protection/>
    </xf>
    <xf numFmtId="0" fontId="21" fillId="32" borderId="67" xfId="57" applyFont="1" applyFill="1" applyBorder="1">
      <alignment/>
      <protection/>
    </xf>
    <xf numFmtId="180" fontId="20" fillId="32" borderId="68" xfId="57" applyNumberFormat="1" applyFont="1" applyFill="1" applyBorder="1" applyAlignment="1">
      <alignment horizontal="center"/>
      <protection/>
    </xf>
    <xf numFmtId="180" fontId="20" fillId="33" borderId="0" xfId="57" applyNumberFormat="1" applyFont="1" applyFill="1" applyBorder="1" applyAlignment="1">
      <alignment horizontal="center"/>
      <protection/>
    </xf>
    <xf numFmtId="0" fontId="21" fillId="32" borderId="25" xfId="57" applyFont="1" applyFill="1" applyBorder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0" fontId="24" fillId="38" borderId="0" xfId="57" applyNumberFormat="1" applyFont="1" applyFill="1" applyBorder="1" applyAlignment="1">
      <alignment/>
      <protection/>
    </xf>
    <xf numFmtId="212" fontId="24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24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9" fontId="24" fillId="32" borderId="20" xfId="57" applyNumberFormat="1" applyFont="1" applyFill="1" applyBorder="1">
      <alignment/>
      <protection/>
    </xf>
    <xf numFmtId="178" fontId="24" fillId="32" borderId="20" xfId="57" applyNumberFormat="1" applyFont="1" applyFill="1" applyBorder="1" applyAlignment="1">
      <alignment horizontal="left"/>
      <protection/>
    </xf>
    <xf numFmtId="21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181" fontId="24" fillId="32" borderId="0" xfId="57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178" fontId="24" fillId="32" borderId="0" xfId="57" applyNumberFormat="1" applyFont="1" applyFill="1" applyBorder="1" applyAlignment="1">
      <alignment horizontal="center"/>
      <protection/>
    </xf>
    <xf numFmtId="180" fontId="24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21" fillId="33" borderId="0" xfId="57" applyNumberFormat="1" applyFont="1" applyFill="1" applyBorder="1" applyAlignment="1">
      <alignment horizontal="left"/>
      <protection/>
    </xf>
    <xf numFmtId="180" fontId="24" fillId="38" borderId="0" xfId="57" applyNumberFormat="1" applyFont="1" applyFill="1" applyBorder="1" applyAlignment="1">
      <alignment horizontal="center"/>
      <protection/>
    </xf>
    <xf numFmtId="197" fontId="24" fillId="33" borderId="0" xfId="58" applyNumberFormat="1" applyFont="1" applyFill="1" applyBorder="1" applyAlignment="1">
      <alignment horizontal="center"/>
      <protection/>
    </xf>
    <xf numFmtId="195" fontId="8" fillId="52" borderId="131" xfId="58" applyNumberFormat="1" applyFont="1" applyFill="1" applyBorder="1" applyAlignment="1">
      <alignment horizontal="center"/>
      <protection/>
    </xf>
    <xf numFmtId="181" fontId="24" fillId="33" borderId="0" xfId="57" applyNumberFormat="1" applyFont="1" applyFill="1" applyBorder="1" applyAlignment="1">
      <alignment horizontal="center"/>
      <protection/>
    </xf>
    <xf numFmtId="179" fontId="24" fillId="44" borderId="0" xfId="57" applyNumberFormat="1" applyFont="1" applyFill="1" applyBorder="1" applyAlignment="1">
      <alignment horizontal="center"/>
      <protection/>
    </xf>
    <xf numFmtId="180" fontId="24" fillId="38" borderId="0" xfId="57" applyNumberFormat="1" applyFont="1" applyFill="1" applyBorder="1" applyAlignment="1">
      <alignment horizontal="left"/>
      <protection/>
    </xf>
    <xf numFmtId="201" fontId="58" fillId="44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4" fillId="32" borderId="0" xfId="58" applyNumberFormat="1" applyFont="1" applyFill="1" applyBorder="1" applyAlignment="1">
      <alignment horizontal="center"/>
      <protection/>
    </xf>
    <xf numFmtId="181" fontId="24" fillId="44" borderId="0" xfId="57" applyNumberFormat="1" applyFont="1" applyFill="1" applyBorder="1" applyAlignment="1">
      <alignment horizontal="center"/>
      <protection/>
    </xf>
    <xf numFmtId="202" fontId="24" fillId="33" borderId="0" xfId="57" applyNumberFormat="1" applyFont="1" applyFill="1" applyBorder="1" applyAlignment="1">
      <alignment horizontal="center"/>
      <protection/>
    </xf>
    <xf numFmtId="199" fontId="58" fillId="44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4" fillId="44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58" fillId="44" borderId="0" xfId="58" applyNumberFormat="1" applyFont="1" applyFill="1" applyBorder="1" applyAlignment="1">
      <alignment horizontal="center"/>
      <protection/>
    </xf>
    <xf numFmtId="206" fontId="58" fillId="44" borderId="20" xfId="58" applyNumberFormat="1" applyFont="1" applyFill="1" applyBorder="1" applyAlignment="1">
      <alignment horizontal="center"/>
      <protection/>
    </xf>
    <xf numFmtId="204" fontId="58" fillId="44" borderId="19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4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9" fillId="32" borderId="0" xfId="0" applyNumberFormat="1" applyFont="1" applyFill="1" applyAlignment="1" applyProtection="1">
      <alignment horizontal="center"/>
      <protection/>
    </xf>
    <xf numFmtId="209" fontId="189" fillId="54" borderId="0" xfId="0" applyNumberFormat="1" applyFont="1" applyFill="1" applyAlignment="1" applyProtection="1">
      <alignment horizontal="center"/>
      <protection/>
    </xf>
    <xf numFmtId="38" fontId="180" fillId="42" borderId="41" xfId="65" applyNumberFormat="1" applyFont="1" applyFill="1" applyBorder="1" applyAlignment="1" applyProtection="1">
      <alignment horizontal="center"/>
      <protection/>
    </xf>
    <xf numFmtId="38" fontId="180" fillId="42" borderId="42" xfId="65" applyNumberFormat="1" applyFont="1" applyFill="1" applyBorder="1" applyAlignment="1" applyProtection="1">
      <alignment horizontal="center"/>
      <protection/>
    </xf>
    <xf numFmtId="38" fontId="180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88" fontId="190" fillId="44" borderId="27" xfId="57" applyNumberFormat="1" applyFont="1" applyFill="1" applyBorder="1" applyAlignment="1" applyProtection="1">
      <alignment horizontal="center" vertical="center"/>
      <protection locked="0"/>
    </xf>
    <xf numFmtId="188" fontId="190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21" fillId="44" borderId="41" xfId="65" applyNumberFormat="1" applyFont="1" applyFill="1" applyBorder="1" applyAlignment="1" applyProtection="1">
      <alignment horizontal="center"/>
      <protection/>
    </xf>
    <xf numFmtId="38" fontId="21" fillId="44" borderId="42" xfId="65" applyNumberFormat="1" applyFont="1" applyFill="1" applyBorder="1" applyAlignment="1" applyProtection="1">
      <alignment horizontal="center"/>
      <protection/>
    </xf>
    <xf numFmtId="38" fontId="21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16" fillId="33" borderId="59" xfId="65" applyNumberFormat="1" applyFont="1" applyFill="1" applyBorder="1" applyAlignment="1" applyProtection="1">
      <alignment horizontal="center"/>
      <protection/>
    </xf>
    <xf numFmtId="38" fontId="16" fillId="33" borderId="48" xfId="65" applyNumberFormat="1" applyFont="1" applyFill="1" applyBorder="1" applyAlignment="1" applyProtection="1">
      <alignment horizontal="center"/>
      <protection/>
    </xf>
    <xf numFmtId="38" fontId="16" fillId="33" borderId="49" xfId="65" applyNumberFormat="1" applyFont="1" applyFill="1" applyBorder="1" applyAlignment="1" applyProtection="1">
      <alignment horizontal="center"/>
      <protection/>
    </xf>
    <xf numFmtId="38" fontId="47" fillId="33" borderId="61" xfId="65" applyNumberFormat="1" applyFont="1" applyFill="1" applyBorder="1" applyAlignment="1" applyProtection="1">
      <alignment horizontal="center"/>
      <protection/>
    </xf>
    <xf numFmtId="38" fontId="47" fillId="33" borderId="44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1" fillId="45" borderId="64" xfId="65" applyNumberFormat="1" applyFont="1" applyFill="1" applyBorder="1" applyAlignment="1" applyProtection="1">
      <alignment horizontal="center"/>
      <protection/>
    </xf>
    <xf numFmtId="38" fontId="161" fillId="45" borderId="20" xfId="65" applyNumberFormat="1" applyFont="1" applyFill="1" applyBorder="1" applyAlignment="1" applyProtection="1">
      <alignment horizontal="center"/>
      <protection/>
    </xf>
    <xf numFmtId="38" fontId="161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4" fillId="42" borderId="50" xfId="65" applyNumberFormat="1" applyFont="1" applyFill="1" applyBorder="1" applyAlignment="1" applyProtection="1">
      <alignment horizontal="center"/>
      <protection/>
    </xf>
    <xf numFmtId="38" fontId="24" fillId="42" borderId="52" xfId="65" applyNumberFormat="1" applyFont="1" applyFill="1" applyBorder="1" applyAlignment="1" applyProtection="1">
      <alignment horizontal="center"/>
      <protection/>
    </xf>
    <xf numFmtId="38" fontId="24" fillId="42" borderId="53" xfId="65" applyNumberFormat="1" applyFont="1" applyFill="1" applyBorder="1" applyAlignment="1" applyProtection="1">
      <alignment horizontal="center"/>
      <protection/>
    </xf>
    <xf numFmtId="38" fontId="24" fillId="42" borderId="58" xfId="65" applyNumberFormat="1" applyFont="1" applyFill="1" applyBorder="1" applyAlignment="1" applyProtection="1">
      <alignment horizontal="center"/>
      <protection/>
    </xf>
    <xf numFmtId="38" fontId="24" fillId="42" borderId="46" xfId="65" applyNumberFormat="1" applyFont="1" applyFill="1" applyBorder="1" applyAlignment="1" applyProtection="1">
      <alignment horizontal="center"/>
      <protection/>
    </xf>
    <xf numFmtId="38" fontId="24" fillId="42" borderId="47" xfId="65" applyNumberFormat="1" applyFont="1" applyFill="1" applyBorder="1" applyAlignment="1" applyProtection="1">
      <alignment horizontal="center"/>
      <protection/>
    </xf>
    <xf numFmtId="38" fontId="24" fillId="42" borderId="59" xfId="65" applyNumberFormat="1" applyFont="1" applyFill="1" applyBorder="1" applyAlignment="1" applyProtection="1">
      <alignment horizontal="center"/>
      <protection/>
    </xf>
    <xf numFmtId="38" fontId="24" fillId="42" borderId="48" xfId="65" applyNumberFormat="1" applyFont="1" applyFill="1" applyBorder="1" applyAlignment="1" applyProtection="1">
      <alignment horizontal="center"/>
      <protection/>
    </xf>
    <xf numFmtId="38" fontId="24" fillId="42" borderId="49" xfId="65" applyNumberFormat="1" applyFont="1" applyFill="1" applyBorder="1" applyAlignment="1" applyProtection="1">
      <alignment horizontal="center"/>
      <protection/>
    </xf>
    <xf numFmtId="38" fontId="24" fillId="54" borderId="41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0" fontId="191" fillId="33" borderId="60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29" xfId="61" applyFont="1" applyFill="1" applyBorder="1" applyAlignment="1" applyProtection="1">
      <alignment horizontal="center"/>
      <protection/>
    </xf>
    <xf numFmtId="0" fontId="167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7" fillId="49" borderId="17" xfId="64" applyFont="1" applyFill="1" applyBorder="1" applyAlignment="1" applyProtection="1">
      <alignment horizontal="center" vertical="top"/>
      <protection/>
    </xf>
    <xf numFmtId="0" fontId="17" fillId="49" borderId="0" xfId="64" applyFont="1" applyFill="1" applyBorder="1" applyAlignment="1" applyProtection="1">
      <alignment horizontal="center" vertical="top"/>
      <protection/>
    </xf>
    <xf numFmtId="0" fontId="17" fillId="49" borderId="18" xfId="64" applyFont="1" applyFill="1" applyBorder="1" applyAlignment="1" applyProtection="1">
      <alignment horizontal="center" vertical="top"/>
      <protection/>
    </xf>
    <xf numFmtId="187" fontId="192" fillId="32" borderId="0" xfId="60" applyNumberFormat="1" applyFont="1" applyFill="1" applyBorder="1" applyAlignment="1" applyProtection="1">
      <alignment horizontal="center"/>
      <protection/>
    </xf>
    <xf numFmtId="0" fontId="151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89" fontId="151" fillId="33" borderId="27" xfId="62" applyNumberFormat="1" applyFont="1" applyFill="1" applyBorder="1" applyAlignment="1" applyProtection="1" quotePrefix="1">
      <alignment horizontal="center" vertical="center"/>
      <protection locked="0"/>
    </xf>
    <xf numFmtId="189" fontId="151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7" xfId="53" applyFill="1" applyBorder="1" applyAlignment="1" applyProtection="1">
      <alignment horizontal="center" vertical="center"/>
      <protection locked="0"/>
    </xf>
    <xf numFmtId="0" fontId="193" fillId="36" borderId="42" xfId="53" applyFont="1" applyFill="1" applyBorder="1" applyAlignment="1" applyProtection="1">
      <alignment horizontal="center" vertical="center"/>
      <protection locked="0"/>
    </xf>
    <xf numFmtId="0" fontId="193" fillId="36" borderId="28" xfId="53" applyFont="1" applyFill="1" applyBorder="1" applyAlignment="1" applyProtection="1">
      <alignment horizontal="center" vertical="center"/>
      <protection locked="0"/>
    </xf>
    <xf numFmtId="38" fontId="143" fillId="33" borderId="27" xfId="53" applyNumberFormat="1" applyFill="1" applyBorder="1" applyAlignment="1" applyProtection="1">
      <alignment horizontal="center" vertical="center"/>
      <protection locked="0"/>
    </xf>
    <xf numFmtId="38" fontId="194" fillId="33" borderId="42" xfId="53" applyNumberFormat="1" applyFont="1" applyFill="1" applyBorder="1" applyAlignment="1" applyProtection="1">
      <alignment horizontal="center" vertical="center"/>
      <protection locked="0"/>
    </xf>
    <xf numFmtId="38" fontId="194" fillId="33" borderId="28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7" fontId="158" fillId="33" borderId="27" xfId="60" applyNumberFormat="1" applyFont="1" applyFill="1" applyBorder="1" applyAlignment="1" applyProtection="1">
      <alignment horizontal="center"/>
      <protection/>
    </xf>
    <xf numFmtId="187" fontId="158" fillId="33" borderId="42" xfId="60" applyNumberFormat="1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0" fontId="55" fillId="49" borderId="133" xfId="64" applyFont="1" applyFill="1" applyBorder="1" applyAlignment="1" applyProtection="1" quotePrefix="1">
      <alignment horizontal="center" wrapText="1"/>
      <protection locked="0"/>
    </xf>
    <xf numFmtId="0" fontId="55" fillId="49" borderId="52" xfId="64" applyFont="1" applyFill="1" applyBorder="1" applyAlignment="1" applyProtection="1">
      <alignment horizontal="center" wrapText="1"/>
      <protection locked="0"/>
    </xf>
    <xf numFmtId="0" fontId="55" fillId="49" borderId="134" xfId="64" applyFont="1" applyFill="1" applyBorder="1" applyAlignment="1" applyProtection="1">
      <alignment horizontal="center" wrapText="1"/>
      <protection locked="0"/>
    </xf>
    <xf numFmtId="0" fontId="196" fillId="32" borderId="44" xfId="57" applyFont="1" applyFill="1" applyBorder="1" applyAlignment="1" applyProtection="1" quotePrefix="1">
      <alignment horizontal="center"/>
      <protection/>
    </xf>
    <xf numFmtId="0" fontId="197" fillId="38" borderId="25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208" fontId="198" fillId="47" borderId="42" xfId="65" applyNumberFormat="1" applyFont="1" applyFill="1" applyBorder="1" applyAlignment="1" applyProtection="1">
      <alignment horizontal="left"/>
      <protection/>
    </xf>
    <xf numFmtId="208" fontId="198" fillId="47" borderId="28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16" fillId="33" borderId="61" xfId="65" applyNumberFormat="1" applyFont="1" applyFill="1" applyBorder="1" applyAlignment="1" applyProtection="1">
      <alignment horizontal="center" wrapText="1"/>
      <protection/>
    </xf>
    <xf numFmtId="38" fontId="16" fillId="33" borderId="44" xfId="65" applyNumberFormat="1" applyFont="1" applyFill="1" applyBorder="1" applyAlignment="1" applyProtection="1">
      <alignment horizontal="center"/>
      <protection/>
    </xf>
    <xf numFmtId="38" fontId="16" fillId="33" borderId="45" xfId="65" applyNumberFormat="1" applyFont="1" applyFill="1" applyBorder="1" applyAlignment="1" applyProtection="1">
      <alignment horizontal="center"/>
      <protection/>
    </xf>
    <xf numFmtId="38" fontId="16" fillId="33" borderId="58" xfId="65" applyNumberFormat="1" applyFont="1" applyFill="1" applyBorder="1" applyAlignment="1" applyProtection="1">
      <alignment horizontal="center" wrapText="1"/>
      <protection/>
    </xf>
    <xf numFmtId="38" fontId="199" fillId="33" borderId="46" xfId="65" applyNumberFormat="1" applyFont="1" applyFill="1" applyBorder="1" applyAlignment="1" applyProtection="1">
      <alignment horizontal="center"/>
      <protection/>
    </xf>
    <xf numFmtId="38" fontId="199" fillId="33" borderId="47" xfId="65" applyNumberFormat="1" applyFont="1" applyFill="1" applyBorder="1" applyAlignment="1" applyProtection="1">
      <alignment horizontal="center"/>
      <protection/>
    </xf>
    <xf numFmtId="38" fontId="16" fillId="33" borderId="59" xfId="65" applyNumberFormat="1" applyFont="1" applyFill="1" applyBorder="1" applyAlignment="1" applyProtection="1">
      <alignment horizontal="center" wrapText="1"/>
      <protection/>
    </xf>
    <xf numFmtId="38" fontId="199" fillId="33" borderId="48" xfId="65" applyNumberFormat="1" applyFont="1" applyFill="1" applyBorder="1" applyAlignment="1" applyProtection="1">
      <alignment horizontal="center"/>
      <protection/>
    </xf>
    <xf numFmtId="38" fontId="199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3" fillId="33" borderId="27" xfId="0" applyNumberFormat="1" applyFont="1" applyFill="1" applyBorder="1" applyAlignment="1" applyProtection="1">
      <alignment horizontal="center"/>
      <protection locked="0"/>
    </xf>
    <xf numFmtId="1" fontId="53" fillId="33" borderId="42" xfId="0" applyNumberFormat="1" applyFont="1" applyFill="1" applyBorder="1" applyAlignment="1" applyProtection="1">
      <alignment horizont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2" fillId="33" borderId="0" xfId="60" applyNumberFormat="1" applyFont="1" applyFill="1" applyBorder="1" applyAlignment="1" applyProtection="1">
      <alignment horizontal="center"/>
      <protection/>
    </xf>
    <xf numFmtId="0" fontId="196" fillId="33" borderId="44" xfId="57" applyFont="1" applyFill="1" applyBorder="1" applyAlignment="1" applyProtection="1" quotePrefix="1">
      <alignment horizontal="center"/>
      <protection/>
    </xf>
    <xf numFmtId="187" fontId="4" fillId="32" borderId="27" xfId="60" applyNumberFormat="1" applyFont="1" applyFill="1" applyBorder="1" applyAlignment="1" applyProtection="1">
      <alignment horizontal="center"/>
      <protection/>
    </xf>
    <xf numFmtId="187" fontId="4" fillId="32" borderId="42" xfId="60" applyNumberFormat="1" applyFont="1" applyFill="1" applyBorder="1" applyAlignment="1" applyProtection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0" fontId="191" fillId="33" borderId="115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  <xf numFmtId="0" fontId="21" fillId="36" borderId="133" xfId="64" applyFont="1" applyFill="1" applyBorder="1" applyAlignment="1" applyProtection="1" quotePrefix="1">
      <alignment horizontal="center" wrapText="1"/>
      <protection/>
    </xf>
    <xf numFmtId="0" fontId="21" fillId="36" borderId="52" xfId="64" applyFont="1" applyFill="1" applyBorder="1" applyAlignment="1" applyProtection="1">
      <alignment horizontal="center" wrapText="1"/>
      <protection/>
    </xf>
    <xf numFmtId="0" fontId="21" fillId="36" borderId="134" xfId="64" applyFont="1" applyFill="1" applyBorder="1" applyAlignment="1" applyProtection="1">
      <alignment horizontal="center" wrapText="1"/>
      <protection/>
    </xf>
    <xf numFmtId="189" fontId="8" fillId="33" borderId="27" xfId="62" applyNumberFormat="1" applyFont="1" applyFill="1" applyBorder="1" applyAlignment="1" applyProtection="1" quotePrefix="1">
      <alignment horizontal="center" vertical="center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8" fontId="190" fillId="44" borderId="27" xfId="57" applyNumberFormat="1" applyFont="1" applyFill="1" applyBorder="1" applyAlignment="1" applyProtection="1">
      <alignment horizontal="center" vertical="center"/>
      <protection/>
    </xf>
    <xf numFmtId="188" fontId="190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5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1" fillId="36" borderId="27" xfId="53" applyFont="1" applyFill="1" applyBorder="1" applyAlignment="1" applyProtection="1">
      <alignment horizontal="center" vertical="center"/>
      <protection/>
    </xf>
    <xf numFmtId="0" fontId="201" fillId="36" borderId="42" xfId="53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6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80">
      <selection activeCell="D80" sqref="D80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5.7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5.7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0" zoomScaleNormal="7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37" activeCellId="1" sqref="F137 I13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456</v>
      </c>
      <c r="C1" s="764"/>
      <c r="D1" s="764"/>
      <c r="E1" s="764"/>
      <c r="F1" s="765"/>
      <c r="G1" s="421" t="s">
        <v>244</v>
      </c>
      <c r="H1" s="414"/>
      <c r="I1" s="751">
        <v>695025</v>
      </c>
      <c r="J1" s="752"/>
      <c r="K1" s="415"/>
      <c r="L1" s="423" t="s">
        <v>245</v>
      </c>
      <c r="M1" s="419">
        <v>300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 t="s">
        <v>455</v>
      </c>
      <c r="I3" s="757"/>
      <c r="J3" s="757"/>
      <c r="K3" s="758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МИНИСТЕРСКИ СЪВЕТ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297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30.09.2020 г.</v>
      </c>
      <c r="G11" s="384">
        <f>+P5-1</f>
        <v>2019</v>
      </c>
      <c r="H11" s="15"/>
      <c r="I11" s="576" t="str">
        <f>+O8</f>
        <v>30.09.2020 г.</v>
      </c>
      <c r="J11" s="385">
        <f>+P5-1</f>
        <v>2019</v>
      </c>
      <c r="K11" s="16"/>
      <c r="L11" s="577" t="str">
        <f>+O8</f>
        <v>30.09.2020 г.</v>
      </c>
      <c r="M11" s="386">
        <f>+P5-1</f>
        <v>2019</v>
      </c>
      <c r="N11" s="16"/>
      <c r="O11" s="578" t="str">
        <f>+O8</f>
        <v>30.09.2020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575319</v>
      </c>
      <c r="G16" s="222">
        <v>965032</v>
      </c>
      <c r="H16" s="15"/>
      <c r="I16" s="222"/>
      <c r="J16" s="221"/>
      <c r="K16" s="215"/>
      <c r="L16" s="222"/>
      <c r="M16" s="221"/>
      <c r="N16" s="215"/>
      <c r="O16" s="349">
        <f t="shared" si="0"/>
        <v>575319</v>
      </c>
      <c r="P16" s="372">
        <f t="shared" si="0"/>
        <v>965032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49649</v>
      </c>
      <c r="G18" s="218">
        <v>154856</v>
      </c>
      <c r="H18" s="15"/>
      <c r="I18" s="218"/>
      <c r="J18" s="217"/>
      <c r="K18" s="215"/>
      <c r="L18" s="218"/>
      <c r="M18" s="217"/>
      <c r="N18" s="215"/>
      <c r="O18" s="353">
        <f t="shared" si="0"/>
        <v>49649</v>
      </c>
      <c r="P18" s="366">
        <f t="shared" si="0"/>
        <v>154856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3046687</v>
      </c>
      <c r="G19" s="220">
        <v>6796378</v>
      </c>
      <c r="H19" s="15"/>
      <c r="I19" s="220"/>
      <c r="J19" s="219"/>
      <c r="K19" s="215"/>
      <c r="L19" s="220"/>
      <c r="M19" s="219"/>
      <c r="N19" s="215"/>
      <c r="O19" s="348">
        <f t="shared" si="0"/>
        <v>3046687</v>
      </c>
      <c r="P19" s="400">
        <f t="shared" si="0"/>
        <v>6796378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1814608</v>
      </c>
      <c r="G20" s="220">
        <v>3206131</v>
      </c>
      <c r="H20" s="15"/>
      <c r="I20" s="220"/>
      <c r="J20" s="219"/>
      <c r="K20" s="215"/>
      <c r="L20" s="220"/>
      <c r="M20" s="219"/>
      <c r="N20" s="215"/>
      <c r="O20" s="348">
        <f t="shared" si="0"/>
        <v>1814608</v>
      </c>
      <c r="P20" s="400">
        <f t="shared" si="0"/>
        <v>3206131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353323</v>
      </c>
      <c r="G21" s="220">
        <v>950019</v>
      </c>
      <c r="H21" s="15"/>
      <c r="I21" s="220"/>
      <c r="J21" s="219"/>
      <c r="K21" s="215"/>
      <c r="L21" s="220"/>
      <c r="M21" s="219"/>
      <c r="N21" s="215"/>
      <c r="O21" s="348">
        <f t="shared" si="0"/>
        <v>353323</v>
      </c>
      <c r="P21" s="400">
        <f t="shared" si="0"/>
        <v>950019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218</v>
      </c>
      <c r="G22" s="220">
        <v>406</v>
      </c>
      <c r="H22" s="15"/>
      <c r="I22" s="220"/>
      <c r="J22" s="219"/>
      <c r="K22" s="215"/>
      <c r="L22" s="220"/>
      <c r="M22" s="220">
        <v>-2</v>
      </c>
      <c r="N22" s="215"/>
      <c r="O22" s="348">
        <f t="shared" si="0"/>
        <v>218</v>
      </c>
      <c r="P22" s="400">
        <f t="shared" si="0"/>
        <v>404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20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550034</v>
      </c>
      <c r="G24" s="222">
        <v>414393</v>
      </c>
      <c r="H24" s="15"/>
      <c r="I24" s="222"/>
      <c r="J24" s="221"/>
      <c r="K24" s="215"/>
      <c r="L24" s="222"/>
      <c r="M24" s="221"/>
      <c r="N24" s="215"/>
      <c r="O24" s="349">
        <f t="shared" si="0"/>
        <v>550034</v>
      </c>
      <c r="P24" s="372">
        <f t="shared" si="0"/>
        <v>414393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6389838</v>
      </c>
      <c r="G25" s="223">
        <f>+ROUND(+SUM(G15,G16,G18,G19,G20,G21,G22,G23,G24),0)</f>
        <v>12487215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-2</v>
      </c>
      <c r="N25" s="215"/>
      <c r="O25" s="350">
        <f>+ROUND(+SUM(O15,O16,O18,O19,O20,O21,O22,O23,O24),0)</f>
        <v>6389838</v>
      </c>
      <c r="P25" s="351">
        <f>+ROUND(+SUM(P15,P16,P18,P19,P20,P21,P22,P23,P24),0)</f>
        <v>12487213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>
        <v>2808136</v>
      </c>
      <c r="G27" s="218">
        <v>4689922</v>
      </c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2808136</v>
      </c>
      <c r="P27" s="366">
        <f t="shared" si="1"/>
        <v>4689922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1109549</v>
      </c>
      <c r="G28" s="220">
        <v>1189372</v>
      </c>
      <c r="H28" s="15"/>
      <c r="I28" s="220"/>
      <c r="J28" s="219"/>
      <c r="K28" s="215"/>
      <c r="L28" s="220"/>
      <c r="M28" s="219"/>
      <c r="N28" s="215"/>
      <c r="O28" s="348">
        <f t="shared" si="1"/>
        <v>1109549</v>
      </c>
      <c r="P28" s="400">
        <f t="shared" si="1"/>
        <v>1189372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3917685</v>
      </c>
      <c r="G30" s="223">
        <f>+ROUND(+SUM(G27:G29),0)</f>
        <v>5879294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3917685</v>
      </c>
      <c r="P30" s="351">
        <f>+ROUND(+SUM(P27:P29),0)</f>
        <v>5879294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-2427305</v>
      </c>
      <c r="G37" s="236">
        <v>-3552537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-2427305</v>
      </c>
      <c r="P37" s="351">
        <f t="shared" si="2"/>
        <v>-3552537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-1818234</v>
      </c>
      <c r="G38" s="238">
        <v>-2944202</v>
      </c>
      <c r="H38" s="15"/>
      <c r="I38" s="238"/>
      <c r="J38" s="237"/>
      <c r="K38" s="215"/>
      <c r="L38" s="238"/>
      <c r="M38" s="237"/>
      <c r="N38" s="215"/>
      <c r="O38" s="363">
        <f t="shared" si="2"/>
        <v>-1818234</v>
      </c>
      <c r="P38" s="401">
        <f t="shared" si="2"/>
        <v>-2944202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-596242</v>
      </c>
      <c r="G39" s="240">
        <v>-585704</v>
      </c>
      <c r="H39" s="15"/>
      <c r="I39" s="240"/>
      <c r="J39" s="239"/>
      <c r="K39" s="215"/>
      <c r="L39" s="240"/>
      <c r="M39" s="239"/>
      <c r="N39" s="215"/>
      <c r="O39" s="364">
        <f t="shared" si="2"/>
        <v>-596242</v>
      </c>
      <c r="P39" s="402">
        <f t="shared" si="2"/>
        <v>-585704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>
        <v>-12829</v>
      </c>
      <c r="G40" s="242">
        <v>-22631</v>
      </c>
      <c r="H40" s="15"/>
      <c r="I40" s="242"/>
      <c r="J40" s="241"/>
      <c r="K40" s="215"/>
      <c r="L40" s="242"/>
      <c r="M40" s="241"/>
      <c r="N40" s="215"/>
      <c r="O40" s="365">
        <f t="shared" si="2"/>
        <v>-12829</v>
      </c>
      <c r="P40" s="403">
        <f t="shared" si="2"/>
        <v>-22631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6210</v>
      </c>
      <c r="G42" s="236">
        <v>24817</v>
      </c>
      <c r="H42" s="15"/>
      <c r="I42" s="236"/>
      <c r="J42" s="235"/>
      <c r="K42" s="215"/>
      <c r="L42" s="236"/>
      <c r="M42" s="235"/>
      <c r="N42" s="215"/>
      <c r="O42" s="350">
        <f>+ROUND(+F42+I42+L42,0)</f>
        <v>6210</v>
      </c>
      <c r="P42" s="351">
        <f>+ROUND(+G42+J42+M42,0)</f>
        <v>24817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>
        <f>2389891+3590</f>
        <v>2393481</v>
      </c>
      <c r="J44" s="218">
        <v>4770589</v>
      </c>
      <c r="K44" s="215"/>
      <c r="L44" s="218"/>
      <c r="M44" s="217"/>
      <c r="N44" s="215"/>
      <c r="O44" s="353">
        <f aca="true" t="shared" si="3" ref="O44:P47">+ROUND(+F44+I44+L44,0)</f>
        <v>2393481</v>
      </c>
      <c r="P44" s="366">
        <f t="shared" si="3"/>
        <v>4770589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20">
        <v>4890</v>
      </c>
      <c r="H45" s="15"/>
      <c r="I45" s="220">
        <v>119765</v>
      </c>
      <c r="J45" s="220">
        <v>572301</v>
      </c>
      <c r="K45" s="215"/>
      <c r="L45" s="220"/>
      <c r="M45" s="219"/>
      <c r="N45" s="215"/>
      <c r="O45" s="348">
        <f t="shared" si="3"/>
        <v>119765</v>
      </c>
      <c r="P45" s="400">
        <f t="shared" si="3"/>
        <v>577191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>
        <v>2758</v>
      </c>
      <c r="J46" s="220">
        <v>47596</v>
      </c>
      <c r="K46" s="215"/>
      <c r="L46" s="220"/>
      <c r="M46" s="219"/>
      <c r="N46" s="215"/>
      <c r="O46" s="348">
        <f t="shared" si="3"/>
        <v>2758</v>
      </c>
      <c r="P46" s="400">
        <f t="shared" si="3"/>
        <v>47596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23000</v>
      </c>
      <c r="G47" s="222">
        <v>52865</v>
      </c>
      <c r="H47" s="15"/>
      <c r="I47" s="222"/>
      <c r="J47" s="221"/>
      <c r="K47" s="215"/>
      <c r="L47" s="222"/>
      <c r="M47" s="221"/>
      <c r="N47" s="215"/>
      <c r="O47" s="349">
        <f t="shared" si="3"/>
        <v>23000</v>
      </c>
      <c r="P47" s="372">
        <f t="shared" si="3"/>
        <v>52865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23000</v>
      </c>
      <c r="G48" s="223">
        <f>+ROUND(+SUM(G44:G47),0)</f>
        <v>57755</v>
      </c>
      <c r="H48" s="15"/>
      <c r="I48" s="224">
        <f>+ROUND(+SUM(I44:I47),0)</f>
        <v>2516004</v>
      </c>
      <c r="J48" s="223">
        <f>+ROUND(+SUM(J44:J47),0)</f>
        <v>5390486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2539004</v>
      </c>
      <c r="P48" s="351">
        <f>+ROUND(+SUM(P44:P47),0)</f>
        <v>5448241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7909428</v>
      </c>
      <c r="G50" s="245">
        <f>+ROUND(G25+G30+G37+G42+G48,0)</f>
        <v>14896544</v>
      </c>
      <c r="H50" s="15"/>
      <c r="I50" s="246">
        <f>+ROUND(I25+I30+I37+I42+I48,0)</f>
        <v>2516004</v>
      </c>
      <c r="J50" s="245">
        <f>+ROUND(J25+J30+J37+J42+J48,0)</f>
        <v>5390486</v>
      </c>
      <c r="K50" s="215"/>
      <c r="L50" s="246">
        <f>+ROUND(L25+L30+L37+L42+L48,0)</f>
        <v>0</v>
      </c>
      <c r="M50" s="245">
        <f>+ROUND(M25+M30+M37+M42+M48,0)</f>
        <v>-2</v>
      </c>
      <c r="N50" s="215"/>
      <c r="O50" s="367">
        <f>+ROUND(O25+O30+O37+O42+O48,0)</f>
        <v>10425432</v>
      </c>
      <c r="P50" s="368">
        <f>+ROUND(P25+P30+P37+P42+P48,0)</f>
        <v>20287028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11481802</v>
      </c>
      <c r="G53" s="248">
        <v>36711286</v>
      </c>
      <c r="H53" s="15"/>
      <c r="I53" s="248">
        <f>3983320+35340+2436124+3590</f>
        <v>6458374</v>
      </c>
      <c r="J53" s="248">
        <v>10501143</v>
      </c>
      <c r="K53" s="215"/>
      <c r="L53" s="248"/>
      <c r="M53" s="247"/>
      <c r="N53" s="215"/>
      <c r="O53" s="354">
        <f aca="true" t="shared" si="4" ref="O53:P57">+ROUND(+F53+I53+L53,0)</f>
        <v>17940176</v>
      </c>
      <c r="P53" s="347">
        <f t="shared" si="4"/>
        <v>47212429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232155</v>
      </c>
      <c r="G54" s="222">
        <v>358039</v>
      </c>
      <c r="H54" s="15"/>
      <c r="I54" s="222">
        <f>7+1813</f>
        <v>1820</v>
      </c>
      <c r="J54" s="222">
        <v>3406</v>
      </c>
      <c r="K54" s="215"/>
      <c r="L54" s="222"/>
      <c r="M54" s="221">
        <v>19</v>
      </c>
      <c r="N54" s="215"/>
      <c r="O54" s="349">
        <f t="shared" si="4"/>
        <v>233975</v>
      </c>
      <c r="P54" s="372">
        <f t="shared" si="4"/>
        <v>361464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3145298</v>
      </c>
      <c r="G55" s="222">
        <v>10341497</v>
      </c>
      <c r="H55" s="15"/>
      <c r="I55" s="222">
        <f>1513+180</f>
        <v>1693</v>
      </c>
      <c r="J55" s="222">
        <v>16584</v>
      </c>
      <c r="K55" s="215"/>
      <c r="L55" s="222"/>
      <c r="M55" s="221"/>
      <c r="N55" s="215"/>
      <c r="O55" s="349">
        <f t="shared" si="4"/>
        <v>3146991</v>
      </c>
      <c r="P55" s="372">
        <f t="shared" si="4"/>
        <v>10358081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31403195</v>
      </c>
      <c r="G56" s="222">
        <v>55468317</v>
      </c>
      <c r="H56" s="15"/>
      <c r="I56" s="222">
        <f>723296+28700+3360495</f>
        <v>4112491</v>
      </c>
      <c r="J56" s="222">
        <v>5296353</v>
      </c>
      <c r="K56" s="215"/>
      <c r="L56" s="222"/>
      <c r="M56" s="221"/>
      <c r="N56" s="215"/>
      <c r="O56" s="349">
        <f t="shared" si="4"/>
        <v>35515686</v>
      </c>
      <c r="P56" s="372">
        <f t="shared" si="4"/>
        <v>60764670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7789684</v>
      </c>
      <c r="G57" s="222">
        <v>12547993</v>
      </c>
      <c r="H57" s="15"/>
      <c r="I57" s="222">
        <f>130602+3401+846921</f>
        <v>980924</v>
      </c>
      <c r="J57" s="222">
        <v>1277970</v>
      </c>
      <c r="K57" s="215"/>
      <c r="L57" s="222"/>
      <c r="M57" s="221"/>
      <c r="N57" s="215"/>
      <c r="O57" s="349">
        <f t="shared" si="4"/>
        <v>8770608</v>
      </c>
      <c r="P57" s="372">
        <f t="shared" si="4"/>
        <v>13825963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54052134</v>
      </c>
      <c r="G58" s="249">
        <f>+ROUND(+SUM(G53:G57),0)</f>
        <v>115427132</v>
      </c>
      <c r="H58" s="15"/>
      <c r="I58" s="250">
        <f>+ROUND(+SUM(I53:I57),0)</f>
        <v>11555302</v>
      </c>
      <c r="J58" s="249">
        <f>+ROUND(+SUM(J53:J57),0)</f>
        <v>17095456</v>
      </c>
      <c r="K58" s="215"/>
      <c r="L58" s="250">
        <f>+ROUND(+SUM(L53:L57),0)</f>
        <v>0</v>
      </c>
      <c r="M58" s="249">
        <f>+ROUND(+SUM(M53:M57),0)</f>
        <v>19</v>
      </c>
      <c r="N58" s="215"/>
      <c r="O58" s="369">
        <f>+ROUND(+SUM(O53:O57),0)</f>
        <v>65607436</v>
      </c>
      <c r="P58" s="370">
        <f>+ROUND(+SUM(P53:P57),0)</f>
        <v>132522607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9496434</v>
      </c>
      <c r="G61" s="221">
        <v>22078849</v>
      </c>
      <c r="H61" s="15"/>
      <c r="I61" s="222">
        <f>3138088+1664017</f>
        <v>4802105</v>
      </c>
      <c r="J61" s="221">
        <v>9994715</v>
      </c>
      <c r="K61" s="215"/>
      <c r="L61" s="222"/>
      <c r="M61" s="221"/>
      <c r="N61" s="215"/>
      <c r="O61" s="349">
        <f t="shared" si="5"/>
        <v>14298539</v>
      </c>
      <c r="P61" s="372">
        <f t="shared" si="5"/>
        <v>32073564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123545</v>
      </c>
      <c r="G62" s="221">
        <v>1421808</v>
      </c>
      <c r="H62" s="15"/>
      <c r="I62" s="222">
        <v>2006341</v>
      </c>
      <c r="J62" s="221">
        <v>1347978</v>
      </c>
      <c r="K62" s="215"/>
      <c r="L62" s="222"/>
      <c r="M62" s="221"/>
      <c r="N62" s="215"/>
      <c r="O62" s="349">
        <f t="shared" si="5"/>
        <v>2129886</v>
      </c>
      <c r="P62" s="372">
        <f t="shared" si="5"/>
        <v>2769786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9619979</v>
      </c>
      <c r="G65" s="249">
        <f>+ROUND(+SUM(G60:G63),0)</f>
        <v>23500657</v>
      </c>
      <c r="H65" s="15"/>
      <c r="I65" s="250">
        <f>+ROUND(+SUM(I60:I63),0)</f>
        <v>6808446</v>
      </c>
      <c r="J65" s="249">
        <f>+ROUND(+SUM(J60:J63),0)</f>
        <v>11342693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16428425</v>
      </c>
      <c r="P65" s="370">
        <f>+ROUND(+SUM(P60:P63),0)</f>
        <v>34843350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53864</v>
      </c>
      <c r="G71" s="248">
        <v>164113</v>
      </c>
      <c r="H71" s="15"/>
      <c r="I71" s="248"/>
      <c r="J71" s="247"/>
      <c r="K71" s="215"/>
      <c r="L71" s="248"/>
      <c r="M71" s="247"/>
      <c r="N71" s="215"/>
      <c r="O71" s="354">
        <f>+ROUND(+F71+I71+L71,0)</f>
        <v>53864</v>
      </c>
      <c r="P71" s="347">
        <f>+ROUND(+G71+J71+M71,0)</f>
        <v>164113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53864</v>
      </c>
      <c r="G73" s="249">
        <f>+ROUND(+SUM(G71:G72),0)</f>
        <v>164113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53864</v>
      </c>
      <c r="P73" s="370">
        <f>+ROUND(+SUM(P71:P72),0)</f>
        <v>164113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30685333</v>
      </c>
      <c r="G75" s="248">
        <v>36260135</v>
      </c>
      <c r="H75" s="15"/>
      <c r="I75" s="248">
        <v>27301</v>
      </c>
      <c r="J75" s="247">
        <v>235349</v>
      </c>
      <c r="K75" s="215"/>
      <c r="L75" s="248"/>
      <c r="M75" s="247"/>
      <c r="N75" s="215"/>
      <c r="O75" s="354">
        <f>+ROUND(+F75+I75+L75,0)</f>
        <v>30712634</v>
      </c>
      <c r="P75" s="347">
        <f>+ROUND(+G75+J75+M75,0)</f>
        <v>36495484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30685333</v>
      </c>
      <c r="G77" s="249">
        <f>+ROUND(+SUM(G75:G76),0)</f>
        <v>36260135</v>
      </c>
      <c r="H77" s="15"/>
      <c r="I77" s="250">
        <f>+ROUND(+SUM(I75:I76),0)</f>
        <v>27301</v>
      </c>
      <c r="J77" s="249">
        <f>+ROUND(+SUM(J75:J76),0)</f>
        <v>235349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30712634</v>
      </c>
      <c r="P77" s="370">
        <f>+ROUND(+SUM(P75:P76),0)</f>
        <v>36495484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94411310</v>
      </c>
      <c r="G79" s="260">
        <f>+ROUND(G58+G65+G69+G73+G77,0)</f>
        <v>175352037</v>
      </c>
      <c r="H79" s="15"/>
      <c r="I79" s="257">
        <f>+ROUND(I58+I65+I69+I73+I77,0)</f>
        <v>18391049</v>
      </c>
      <c r="J79" s="260">
        <f>+ROUND(J58+J65+J69+J73+J77,0)</f>
        <v>28673498</v>
      </c>
      <c r="K79" s="215"/>
      <c r="L79" s="257">
        <f>+ROUND(L58+L65+L69+L73+L77,0)</f>
        <v>0</v>
      </c>
      <c r="M79" s="260">
        <f>+ROUND(M58+M65+M69+M73+M77,0)</f>
        <v>19</v>
      </c>
      <c r="N79" s="215"/>
      <c r="O79" s="373">
        <f>+ROUND(O58+O65+O69+O73+O77,0)</f>
        <v>112802359</v>
      </c>
      <c r="P79" s="380">
        <f>+ROUND(P58+P65+P69+P73+P77,0)</f>
        <v>204025554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90641884</v>
      </c>
      <c r="G81" s="218">
        <v>160684727</v>
      </c>
      <c r="H81" s="15"/>
      <c r="I81" s="218">
        <f>568444+347930+9299652</f>
        <v>10216026</v>
      </c>
      <c r="J81" s="217">
        <v>22969255</v>
      </c>
      <c r="K81" s="215"/>
      <c r="L81" s="218"/>
      <c r="M81" s="217"/>
      <c r="N81" s="215"/>
      <c r="O81" s="353">
        <f>+ROUND(+F81+I81+L81,0)</f>
        <v>100857910</v>
      </c>
      <c r="P81" s="366">
        <f>+ROUND(+G81+J81+M81,0)</f>
        <v>183653982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90641884</v>
      </c>
      <c r="G83" s="258">
        <f>+ROUND(G81+G82,0)</f>
        <v>160684727</v>
      </c>
      <c r="H83" s="15"/>
      <c r="I83" s="259">
        <f>+ROUND(I81+I82,0)</f>
        <v>10216026</v>
      </c>
      <c r="J83" s="258">
        <f>+ROUND(J81+J82,0)</f>
        <v>22969255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100857910</v>
      </c>
      <c r="P83" s="375">
        <f>+ROUND(P81+P82,0)</f>
        <v>183653982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4140002</v>
      </c>
      <c r="G85" s="279">
        <f>+ROUND(G50,0)-ROUND(G79,0)+ROUND(G83,0)</f>
        <v>229234</v>
      </c>
      <c r="H85" s="15"/>
      <c r="I85" s="280">
        <f>+ROUND(I50,0)-ROUND(I79,0)+ROUND(I83,0)</f>
        <v>-5659019</v>
      </c>
      <c r="J85" s="279">
        <f>+ROUND(J50,0)-ROUND(J79,0)+ROUND(J83,0)</f>
        <v>-313757</v>
      </c>
      <c r="K85" s="215"/>
      <c r="L85" s="280">
        <f>+ROUND(L50,0)-ROUND(L79,0)+ROUND(L83,0)</f>
        <v>0</v>
      </c>
      <c r="M85" s="279">
        <f>+ROUND(M50,0)-ROUND(M79,0)+ROUND(M83,0)</f>
        <v>-21</v>
      </c>
      <c r="N85" s="215"/>
      <c r="O85" s="376">
        <f>+ROUND(O50,0)-ROUND(O79,0)+ROUND(O83,0)</f>
        <v>-1519017</v>
      </c>
      <c r="P85" s="377">
        <f>+ROUND(P50,0)-ROUND(P79,0)+ROUND(P83,0)</f>
        <v>-84544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-4140002</v>
      </c>
      <c r="G86" s="281">
        <f>+ROUND(G103,0)+ROUND(G122,0)+ROUND(G129,0)-ROUND(G134,0)</f>
        <v>-229234</v>
      </c>
      <c r="H86" s="15"/>
      <c r="I86" s="282">
        <f>+ROUND(I103,0)+ROUND(I122,0)+ROUND(I129,0)-ROUND(I134,0)</f>
        <v>5659019</v>
      </c>
      <c r="J86" s="281">
        <f>+ROUND(J103,0)+ROUND(J122,0)+ROUND(J129,0)-ROUND(J134,0)</f>
        <v>313757</v>
      </c>
      <c r="K86" s="215"/>
      <c r="L86" s="282">
        <f>+ROUND(L103,0)+ROUND(L122,0)+ROUND(L129,0)-ROUND(L134,0)</f>
        <v>0</v>
      </c>
      <c r="M86" s="281">
        <f>+ROUND(M103,0)+ROUND(M122,0)+ROUND(M129,0)-ROUND(M134,0)</f>
        <v>21</v>
      </c>
      <c r="N86" s="215"/>
      <c r="O86" s="378">
        <f>+ROUND(O103,0)+ROUND(O122,0)+ROUND(O129,0)-ROUND(O134,0)</f>
        <v>1519017</v>
      </c>
      <c r="P86" s="379">
        <f>+ROUND(P103,0)+ROUND(P122,0)+ROUND(P129,0)-ROUND(P134,0)</f>
        <v>84544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>
        <v>-30823</v>
      </c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-30823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-30823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-30823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3943</v>
      </c>
      <c r="G100" s="222">
        <v>4395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3943</v>
      </c>
      <c r="P100" s="372">
        <f>+ROUND(+G100+J100+M100,0)</f>
        <v>4395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3943</v>
      </c>
      <c r="G101" s="223">
        <f>+ROUND(+SUM(G99:G100),0)</f>
        <v>4395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3943</v>
      </c>
      <c r="P101" s="351">
        <f>+ROUND(+SUM(P99:P100),0)</f>
        <v>4395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-26880</v>
      </c>
      <c r="G103" s="245">
        <f>+ROUND(G91+G97+G101,0)</f>
        <v>4395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-26880</v>
      </c>
      <c r="P103" s="368">
        <f>+ROUND(P91+P97+P101,0)</f>
        <v>4395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2440</v>
      </c>
      <c r="G118" s="248">
        <v>-18446</v>
      </c>
      <c r="H118" s="15"/>
      <c r="I118" s="248"/>
      <c r="J118" s="247"/>
      <c r="K118" s="215"/>
      <c r="L118" s="248">
        <v>-286010</v>
      </c>
      <c r="M118" s="247">
        <v>3651688</v>
      </c>
      <c r="N118" s="215"/>
      <c r="O118" s="354">
        <f>+ROUND(+F118+I118+L118,0)</f>
        <v>-283570</v>
      </c>
      <c r="P118" s="347">
        <f>+ROUND(+G118+J118+M118,0)</f>
        <v>3633242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2440</v>
      </c>
      <c r="G120" s="249">
        <f>+ROUND(+SUM(G118:G119),0)</f>
        <v>-18446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-286010</v>
      </c>
      <c r="M120" s="249">
        <f>+ROUND(+SUM(M118:M119),0)</f>
        <v>3651688</v>
      </c>
      <c r="N120" s="215"/>
      <c r="O120" s="369">
        <f>+ROUND(+SUM(O118:O119),0)</f>
        <v>-283570</v>
      </c>
      <c r="P120" s="370">
        <f>+ROUND(+SUM(P118:P119),0)</f>
        <v>3633242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2440</v>
      </c>
      <c r="G122" s="260">
        <f>+ROUND(G108+G112+G116+G120,0)</f>
        <v>-18446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-286010</v>
      </c>
      <c r="M122" s="260">
        <f>+ROUND(M108+M112+M116+M120,0)</f>
        <v>3651688</v>
      </c>
      <c r="N122" s="215"/>
      <c r="O122" s="373">
        <f>+ROUND(O108+O112+O116+O120,0)</f>
        <v>-283570</v>
      </c>
      <c r="P122" s="380">
        <f>+ROUND(P108+P112+P116+P120,0)</f>
        <v>3633242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-5274453</v>
      </c>
      <c r="G125" s="221">
        <v>-54926</v>
      </c>
      <c r="H125" s="15"/>
      <c r="I125" s="222">
        <f>4957324-277899+595028</f>
        <v>5274453</v>
      </c>
      <c r="J125" s="221">
        <v>54926</v>
      </c>
      <c r="K125" s="215"/>
      <c r="L125" s="222">
        <v>-11008339</v>
      </c>
      <c r="M125" s="221">
        <v>13027451</v>
      </c>
      <c r="N125" s="215"/>
      <c r="O125" s="349">
        <f t="shared" si="7"/>
        <v>-11008339</v>
      </c>
      <c r="P125" s="372">
        <f t="shared" si="7"/>
        <v>13027451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-575721</v>
      </c>
      <c r="G126" s="221">
        <v>-258831</v>
      </c>
      <c r="H126" s="15"/>
      <c r="I126" s="222">
        <f>-31297-2590+418453</f>
        <v>384566</v>
      </c>
      <c r="J126" s="221">
        <v>258831</v>
      </c>
      <c r="K126" s="215"/>
      <c r="L126" s="222"/>
      <c r="M126" s="221">
        <v>29074</v>
      </c>
      <c r="N126" s="215"/>
      <c r="O126" s="349">
        <f t="shared" si="7"/>
        <v>-191155</v>
      </c>
      <c r="P126" s="372">
        <f t="shared" si="7"/>
        <v>29074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-5850174</v>
      </c>
      <c r="G129" s="258">
        <f>+ROUND(+SUM(G124,G125,G126,G128),0)</f>
        <v>-313757</v>
      </c>
      <c r="H129" s="15"/>
      <c r="I129" s="259">
        <f>+ROUND(+SUM(I124,I125,I126,I128),0)</f>
        <v>5659019</v>
      </c>
      <c r="J129" s="258">
        <f>+ROUND(+SUM(J124,J125,J126,J128),0)</f>
        <v>313757</v>
      </c>
      <c r="K129" s="215"/>
      <c r="L129" s="259">
        <f>+ROUND(+SUM(L124,L125,L126,L128),0)</f>
        <v>-11008339</v>
      </c>
      <c r="M129" s="258">
        <f>+ROUND(+SUM(M124,M125,M126,M128),0)</f>
        <v>13056525</v>
      </c>
      <c r="N129" s="215"/>
      <c r="O129" s="374">
        <f>+ROUND(+SUM(O124,O125,O126,O128),0)</f>
        <v>-11199494</v>
      </c>
      <c r="P129" s="375">
        <f>+ROUND(+SUM(P124,P125,P126,P128),0)</f>
        <v>13056525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3815757</v>
      </c>
      <c r="G131" s="218">
        <v>3920803</v>
      </c>
      <c r="H131" s="15"/>
      <c r="I131" s="218"/>
      <c r="J131" s="217"/>
      <c r="K131" s="215"/>
      <c r="L131" s="218">
        <v>36808375</v>
      </c>
      <c r="M131" s="217">
        <v>20100183</v>
      </c>
      <c r="N131" s="215"/>
      <c r="O131" s="353">
        <f aca="true" t="shared" si="8" ref="O131:P133">+ROUND(+F131+I131+L131,0)</f>
        <v>40624132</v>
      </c>
      <c r="P131" s="366">
        <f t="shared" si="8"/>
        <v>24020986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>
        <v>-599</v>
      </c>
      <c r="G132" s="222">
        <v>-6472</v>
      </c>
      <c r="H132" s="15"/>
      <c r="I132" s="222"/>
      <c r="J132" s="221"/>
      <c r="K132" s="215"/>
      <c r="L132" s="222"/>
      <c r="M132" s="221"/>
      <c r="N132" s="215"/>
      <c r="O132" s="349">
        <f t="shared" si="8"/>
        <v>-599</v>
      </c>
      <c r="P132" s="372">
        <f t="shared" si="8"/>
        <v>-6472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2080546</v>
      </c>
      <c r="G133" s="222">
        <v>3815757</v>
      </c>
      <c r="H133" s="15"/>
      <c r="I133" s="222"/>
      <c r="J133" s="221"/>
      <c r="K133" s="215"/>
      <c r="L133" s="222">
        <v>25514026</v>
      </c>
      <c r="M133" s="221">
        <v>36808375</v>
      </c>
      <c r="N133" s="215"/>
      <c r="O133" s="349">
        <f t="shared" si="8"/>
        <v>27594572</v>
      </c>
      <c r="P133" s="372">
        <f t="shared" si="8"/>
        <v>40624132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-1734612</v>
      </c>
      <c r="G134" s="263">
        <f>+ROUND(+G133-G131-G132,0)</f>
        <v>-98574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-11294349</v>
      </c>
      <c r="M134" s="263">
        <f>+ROUND(+M133-M131-M132,0)</f>
        <v>16708192</v>
      </c>
      <c r="N134" s="215"/>
      <c r="O134" s="382">
        <f>+ROUND(+O133-O131-O132,0)</f>
        <v>-13028961</v>
      </c>
      <c r="P134" s="383">
        <f>+ROUND(+P133-P131-P132,0)</f>
        <v>16609618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>
        <f>10122877+1</f>
        <v>10122878</v>
      </c>
      <c r="G137" s="218"/>
      <c r="H137" s="15"/>
      <c r="I137" s="218">
        <v>3889151</v>
      </c>
      <c r="J137" s="217"/>
      <c r="K137" s="215"/>
      <c r="L137" s="218"/>
      <c r="M137" s="217"/>
      <c r="N137" s="215"/>
      <c r="O137" s="353">
        <f aca="true" t="shared" si="9" ref="O137:P139">+ROUND(+F137+I137+L137,0)</f>
        <v>14012029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2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>
        <v>8391592</v>
      </c>
      <c r="G139" s="222">
        <f>10122877+1</f>
        <v>10122878</v>
      </c>
      <c r="H139" s="15"/>
      <c r="I139" s="222">
        <v>3566265</v>
      </c>
      <c r="J139" s="221">
        <v>3889151</v>
      </c>
      <c r="K139" s="215"/>
      <c r="L139" s="222"/>
      <c r="M139" s="221"/>
      <c r="N139" s="215"/>
      <c r="O139" s="349">
        <f t="shared" si="9"/>
        <v>11957857</v>
      </c>
      <c r="P139" s="372">
        <f t="shared" si="9"/>
        <v>14012029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-1731286</v>
      </c>
      <c r="G140" s="263">
        <f>+ROUND(+G139-G137-G138,0)</f>
        <v>10122878</v>
      </c>
      <c r="H140" s="15"/>
      <c r="I140" s="264">
        <f>+ROUND(+I139-I137-I138,0)</f>
        <v>-322886</v>
      </c>
      <c r="J140" s="263">
        <f>+ROUND(+J139-J137-J138,0)</f>
        <v>3889151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-2054172</v>
      </c>
      <c r="P140" s="383">
        <f>+ROUND(+P139-P137-P138,0)</f>
        <v>14012029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-3465898</v>
      </c>
      <c r="G142" s="525">
        <f>+G134+G140</f>
        <v>10024304</v>
      </c>
      <c r="H142" s="15"/>
      <c r="I142" s="524">
        <f>+I134+I140</f>
        <v>-322886</v>
      </c>
      <c r="J142" s="525">
        <f>+J134+J140</f>
        <v>3889151</v>
      </c>
      <c r="K142" s="215"/>
      <c r="L142" s="524">
        <f>+L134+L140</f>
        <v>-11294349</v>
      </c>
      <c r="M142" s="525">
        <f>+M134+M140</f>
        <v>16708192</v>
      </c>
      <c r="N142" s="215"/>
      <c r="O142" s="382">
        <f>+O134+O140</f>
        <v>-15083133</v>
      </c>
      <c r="P142" s="383">
        <f>+P134+P140</f>
        <v>30621647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23102020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457</v>
      </c>
      <c r="G148" s="790"/>
      <c r="H148" s="790"/>
      <c r="I148" s="791"/>
      <c r="J148" s="334"/>
      <c r="K148" s="16"/>
      <c r="L148" s="334" t="s">
        <v>234</v>
      </c>
      <c r="M148" s="789" t="s">
        <v>458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10472138</v>
      </c>
      <c r="G160" s="553">
        <f>+G133+G139</f>
        <v>13938635</v>
      </c>
      <c r="I160" s="552">
        <f>+I133+I139</f>
        <v>3566265</v>
      </c>
      <c r="J160" s="553">
        <f>+J133+J139</f>
        <v>3889151</v>
      </c>
      <c r="K160" s="215"/>
      <c r="L160" s="552">
        <f>+L133+L139</f>
        <v>25514026</v>
      </c>
      <c r="M160" s="553">
        <f>+M133+M139</f>
        <v>36808375</v>
      </c>
      <c r="N160" s="215"/>
      <c r="O160" s="556">
        <f>+ROUND(+F160+I160+L160,0)</f>
        <v>39552429</v>
      </c>
      <c r="P160" s="557">
        <f>+ROUND(+G160+J160+M160,0)</f>
        <v>54636161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>
        <v>10472138</v>
      </c>
      <c r="G161" s="550">
        <v>13938635</v>
      </c>
      <c r="I161" s="549">
        <v>3566265</v>
      </c>
      <c r="J161" s="550">
        <v>3889151</v>
      </c>
      <c r="K161" s="215"/>
      <c r="L161" s="549">
        <v>25514026</v>
      </c>
      <c r="M161" s="550">
        <v>36808375</v>
      </c>
      <c r="N161" s="215"/>
      <c r="O161" s="558">
        <f>+ROUND(+F161+I161+L161,0)</f>
        <v>39552429</v>
      </c>
      <c r="P161" s="559">
        <f>+ROUND(+G161+J161+M161,0)</f>
        <v>54636161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30.09.2020 г.</v>
      </c>
      <c r="G162" s="543">
        <f>+G11</f>
        <v>2019</v>
      </c>
      <c r="I162" s="581" t="str">
        <f>+I11</f>
        <v>30.09.2020 г.</v>
      </c>
      <c r="J162" s="545">
        <f>+J11</f>
        <v>2019</v>
      </c>
      <c r="K162" s="11"/>
      <c r="L162" s="582" t="str">
        <f>+L11</f>
        <v>30.09.2020 г.</v>
      </c>
      <c r="M162" s="548">
        <f>+M11</f>
        <v>2019</v>
      </c>
      <c r="N162" s="11"/>
      <c r="O162" s="583" t="str">
        <f>+O11</f>
        <v>30.09.2020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1" dxfId="143" operator="notEqual" stopIfTrue="1">
      <formula>0</formula>
    </cfRule>
  </conditionalFormatting>
  <conditionalFormatting sqref="B135 B144:E146 B143:D143">
    <cfRule type="cellIs" priority="286" dxfId="144" operator="notEqual" stopIfTrue="1">
      <formula>0</formula>
    </cfRule>
    <cfRule type="cellIs" priority="202" dxfId="145" operator="equal">
      <formula>0</formula>
    </cfRule>
  </conditionalFormatting>
  <conditionalFormatting sqref="F150:G151">
    <cfRule type="cellIs" priority="214" dxfId="146" operator="equal" stopIfTrue="1">
      <formula>"НЕРАВНЕНИЕ!"</formula>
    </cfRule>
    <cfRule type="cellIs" priority="215" dxfId="16" operator="equal" stopIfTrue="1">
      <formula>"НЕРАВНЕНИЕ!"</formula>
    </cfRule>
  </conditionalFormatting>
  <conditionalFormatting sqref="O150:O151 I150:J151">
    <cfRule type="cellIs" priority="213" dxfId="146" operator="equal" stopIfTrue="1">
      <formula>"НЕРАВНЕНИЕ!"</formula>
    </cfRule>
  </conditionalFormatting>
  <conditionalFormatting sqref="L150:L151 N150:N151">
    <cfRule type="cellIs" priority="212" dxfId="146" operator="equal" stopIfTrue="1">
      <formula>"НЕРАВНЕНИЕ!"</formula>
    </cfRule>
  </conditionalFormatting>
  <conditionalFormatting sqref="F153:G154">
    <cfRule type="cellIs" priority="210" dxfId="146" operator="equal" stopIfTrue="1">
      <formula>"НЕРАВНЕНИЕ !"</formula>
    </cfRule>
    <cfRule type="cellIs" priority="211" dxfId="16" operator="equal" stopIfTrue="1">
      <formula>"НЕРАВНЕНИЕ !"</formula>
    </cfRule>
  </conditionalFormatting>
  <conditionalFormatting sqref="O153:O154 I153:J154">
    <cfRule type="cellIs" priority="209" dxfId="146" operator="equal" stopIfTrue="1">
      <formula>"НЕРАВНЕНИЕ !"</formula>
    </cfRule>
  </conditionalFormatting>
  <conditionalFormatting sqref="L153:L154 N153:N154">
    <cfRule type="cellIs" priority="208" dxfId="146" operator="equal" stopIfTrue="1">
      <formula>"НЕРАВНЕНИЕ !"</formula>
    </cfRule>
  </conditionalFormatting>
  <conditionalFormatting sqref="L153:L154 O153:O154 F153:G154 I153:J154">
    <cfRule type="cellIs" priority="207" dxfId="146" operator="notEqual">
      <formula>0</formula>
    </cfRule>
  </conditionalFormatting>
  <conditionalFormatting sqref="L84">
    <cfRule type="cellIs" priority="188" dxfId="143" operator="notEqual" stopIfTrue="1">
      <formula>0</formula>
    </cfRule>
  </conditionalFormatting>
  <conditionalFormatting sqref="O84">
    <cfRule type="cellIs" priority="187" dxfId="143" operator="notEqual" stopIfTrue="1">
      <formula>0</formula>
    </cfRule>
  </conditionalFormatting>
  <conditionalFormatting sqref="L135">
    <cfRule type="cellIs" priority="197" dxfId="143" operator="notEqual" stopIfTrue="1">
      <formula>0</formula>
    </cfRule>
  </conditionalFormatting>
  <conditionalFormatting sqref="O135 O143:O146">
    <cfRule type="cellIs" priority="195" dxfId="143" operator="notEqual" stopIfTrue="1">
      <formula>0</formula>
    </cfRule>
  </conditionalFormatting>
  <conditionalFormatting sqref="M84 M135 M143:M146">
    <cfRule type="cellIs" priority="178" dxfId="143" operator="notEqual" stopIfTrue="1">
      <formula>0</formula>
    </cfRule>
  </conditionalFormatting>
  <conditionalFormatting sqref="M150:M151">
    <cfRule type="cellIs" priority="177" dxfId="146" operator="equal" stopIfTrue="1">
      <formula>"НЕРАВНЕНИЕ!"</formula>
    </cfRule>
  </conditionalFormatting>
  <conditionalFormatting sqref="M153:M154">
    <cfRule type="cellIs" priority="176" dxfId="146" operator="equal" stopIfTrue="1">
      <formula>"НЕРАВНЕНИЕ !"</formula>
    </cfRule>
  </conditionalFormatting>
  <conditionalFormatting sqref="M153:M154">
    <cfRule type="cellIs" priority="175" dxfId="146" operator="notEqual">
      <formula>0</formula>
    </cfRule>
  </conditionalFormatting>
  <conditionalFormatting sqref="P84 P135 P143:P146">
    <cfRule type="cellIs" priority="174" dxfId="143" operator="notEqual" stopIfTrue="1">
      <formula>0</formula>
    </cfRule>
  </conditionalFormatting>
  <conditionalFormatting sqref="P150:P151">
    <cfRule type="cellIs" priority="173" dxfId="146" operator="equal" stopIfTrue="1">
      <formula>"НЕРАВНЕНИЕ!"</formula>
    </cfRule>
  </conditionalFormatting>
  <conditionalFormatting sqref="P153:P154">
    <cfRule type="cellIs" priority="172" dxfId="146" operator="equal" stopIfTrue="1">
      <formula>"НЕРАВНЕНИЕ !"</formula>
    </cfRule>
  </conditionalFormatting>
  <conditionalFormatting sqref="P153:P154">
    <cfRule type="cellIs" priority="171" dxfId="146" operator="notEqual">
      <formula>0</formula>
    </cfRule>
  </conditionalFormatting>
  <conditionalFormatting sqref="B1">
    <cfRule type="cellIs" priority="170" dxfId="147" operator="equal" stopIfTrue="1">
      <formula>0</formula>
    </cfRule>
  </conditionalFormatting>
  <conditionalFormatting sqref="B3">
    <cfRule type="cellIs" priority="167" dxfId="147" operator="equal" stopIfTrue="1">
      <formula>0</formula>
    </cfRule>
  </conditionalFormatting>
  <conditionalFormatting sqref="G2:H2">
    <cfRule type="cellIs" priority="165" dxfId="146" operator="equal">
      <formula>"отчетено НЕРАВНЕНИЕ в таблица 'Status'!"</formula>
    </cfRule>
    <cfRule type="cellIs" priority="166" dxfId="148" operator="equal">
      <formula>0</formula>
    </cfRule>
  </conditionalFormatting>
  <conditionalFormatting sqref="J2">
    <cfRule type="cellIs" priority="164" dxfId="146" operator="notEqual">
      <formula>0</formula>
    </cfRule>
  </conditionalFormatting>
  <conditionalFormatting sqref="M2:N2">
    <cfRule type="cellIs" priority="163" dxfId="146" operator="notEqual">
      <formula>0</formula>
    </cfRule>
  </conditionalFormatting>
  <conditionalFormatting sqref="H1">
    <cfRule type="cellIs" priority="161" dxfId="146" operator="equal">
      <formula>"отчетено НЕРАВНЕНИЕ в таблица 'Status'!"</formula>
    </cfRule>
    <cfRule type="cellIs" priority="162" dxfId="148" operator="equal">
      <formula>0</formula>
    </cfRule>
  </conditionalFormatting>
  <conditionalFormatting sqref="K1">
    <cfRule type="cellIs" priority="160" dxfId="146" operator="notEqual">
      <formula>0</formula>
    </cfRule>
  </conditionalFormatting>
  <conditionalFormatting sqref="M1">
    <cfRule type="cellIs" priority="159" dxfId="147" operator="equal" stopIfTrue="1">
      <formula>0</formula>
    </cfRule>
  </conditionalFormatting>
  <conditionalFormatting sqref="N1">
    <cfRule type="cellIs" priority="158" dxfId="146" operator="notEqual">
      <formula>0</formula>
    </cfRule>
  </conditionalFormatting>
  <conditionalFormatting sqref="P1">
    <cfRule type="cellIs" priority="157" dxfId="147" operator="equal" stopIfTrue="1">
      <formula>0</formula>
    </cfRule>
  </conditionalFormatting>
  <conditionalFormatting sqref="S1:T1">
    <cfRule type="cellIs" priority="141" dxfId="149" operator="between" stopIfTrue="1">
      <formula>1000000000000</formula>
      <formula>9999999999999990</formula>
    </cfRule>
    <cfRule type="cellIs" priority="142" dxfId="150" operator="between" stopIfTrue="1">
      <formula>10000000000</formula>
      <formula>999999999999</formula>
    </cfRule>
    <cfRule type="cellIs" priority="143" dxfId="151" operator="between" stopIfTrue="1">
      <formula>1000000</formula>
      <formula>99999999</formula>
    </cfRule>
    <cfRule type="cellIs" priority="144" dxfId="152" operator="between" stopIfTrue="1">
      <formula>100</formula>
      <formula>9999</formula>
    </cfRule>
  </conditionalFormatting>
  <conditionalFormatting sqref="B84">
    <cfRule type="cellIs" priority="140" dxfId="144" operator="notEqual" stopIfTrue="1">
      <formula>0</formula>
    </cfRule>
    <cfRule type="cellIs" priority="139" dxfId="153" operator="equal">
      <formula>0</formula>
    </cfRule>
  </conditionalFormatting>
  <conditionalFormatting sqref="B127 R127">
    <cfRule type="expression" priority="138" dxfId="154" stopIfTrue="1">
      <formula>$M$1=9900</formula>
    </cfRule>
  </conditionalFormatting>
  <conditionalFormatting sqref="F145">
    <cfRule type="cellIs" priority="137" dxfId="146" operator="notEqual" stopIfTrue="1">
      <formula>0</formula>
    </cfRule>
  </conditionalFormatting>
  <conditionalFormatting sqref="G145">
    <cfRule type="cellIs" priority="136" dxfId="146" operator="notEqual" stopIfTrue="1">
      <formula>0</formula>
    </cfRule>
  </conditionalFormatting>
  <conditionalFormatting sqref="G145">
    <cfRule type="cellIs" priority="135" dxfId="146" operator="notEqual" stopIfTrue="1">
      <formula>0</formula>
    </cfRule>
  </conditionalFormatting>
  <conditionalFormatting sqref="G145">
    <cfRule type="cellIs" priority="134" dxfId="146" operator="notEqual" stopIfTrue="1">
      <formula>0</formula>
    </cfRule>
  </conditionalFormatting>
  <conditionalFormatting sqref="B5:C5">
    <cfRule type="cellIs" priority="29" dxfId="145" operator="equal" stopIfTrue="1">
      <formula>0</formula>
    </cfRule>
  </conditionalFormatting>
  <conditionalFormatting sqref="F168:G168">
    <cfRule type="cellIs" priority="23" dxfId="146" operator="equal" stopIfTrue="1">
      <formula>"НЕРАВНЕНИЕ !"</formula>
    </cfRule>
    <cfRule type="cellIs" priority="24" dxfId="16" operator="equal" stopIfTrue="1">
      <formula>"НЕРАВНЕНИЕ !"</formula>
    </cfRule>
  </conditionalFormatting>
  <conditionalFormatting sqref="P168">
    <cfRule type="cellIs" priority="16" dxfId="146" operator="notEqual">
      <formula>0</formula>
    </cfRule>
  </conditionalFormatting>
  <conditionalFormatting sqref="F164">
    <cfRule type="cellIs" priority="28" dxfId="148" operator="equal">
      <formula>0</formula>
    </cfRule>
  </conditionalFormatting>
  <conditionalFormatting sqref="G164">
    <cfRule type="cellIs" priority="27" dxfId="148" operator="equal">
      <formula>0</formula>
    </cfRule>
  </conditionalFormatting>
  <conditionalFormatting sqref="O164">
    <cfRule type="cellIs" priority="26" dxfId="148" operator="equal">
      <formula>0</formula>
    </cfRule>
  </conditionalFormatting>
  <conditionalFormatting sqref="P164">
    <cfRule type="cellIs" priority="25" dxfId="148" operator="equal">
      <formula>0</formula>
    </cfRule>
  </conditionalFormatting>
  <conditionalFormatting sqref="O168 I168:J168">
    <cfRule type="cellIs" priority="22" dxfId="146" operator="equal" stopIfTrue="1">
      <formula>"НЕРАВНЕНИЕ !"</formula>
    </cfRule>
  </conditionalFormatting>
  <conditionalFormatting sqref="L168 N168">
    <cfRule type="cellIs" priority="21" dxfId="146" operator="equal" stopIfTrue="1">
      <formula>"НЕРАВНЕНИЕ !"</formula>
    </cfRule>
  </conditionalFormatting>
  <conditionalFormatting sqref="L168 O168 F168:G168 I168:J168">
    <cfRule type="cellIs" priority="20" dxfId="146" operator="notEqual">
      <formula>0</formula>
    </cfRule>
  </conditionalFormatting>
  <conditionalFormatting sqref="M168">
    <cfRule type="cellIs" priority="19" dxfId="146" operator="equal" stopIfTrue="1">
      <formula>"НЕРАВНЕНИЕ !"</formula>
    </cfRule>
  </conditionalFormatting>
  <conditionalFormatting sqref="M168">
    <cfRule type="cellIs" priority="18" dxfId="146" operator="notEqual">
      <formula>0</formula>
    </cfRule>
  </conditionalFormatting>
  <conditionalFormatting sqref="P168">
    <cfRule type="cellIs" priority="17" dxfId="146" operator="equal" stopIfTrue="1">
      <formula>"НЕРАВНЕНИЕ !"</formula>
    </cfRule>
  </conditionalFormatting>
  <conditionalFormatting sqref="I164">
    <cfRule type="cellIs" priority="15" dxfId="148" operator="equal">
      <formula>0</formula>
    </cfRule>
  </conditionalFormatting>
  <conditionalFormatting sqref="J164">
    <cfRule type="cellIs" priority="14" dxfId="148" operator="equal">
      <formula>0</formula>
    </cfRule>
  </conditionalFormatting>
  <conditionalFormatting sqref="L164">
    <cfRule type="cellIs" priority="13" dxfId="148" operator="equal">
      <formula>0</formula>
    </cfRule>
  </conditionalFormatting>
  <conditionalFormatting sqref="M164">
    <cfRule type="cellIs" priority="12" dxfId="148" operator="equal">
      <formula>0</formula>
    </cfRule>
  </conditionalFormatting>
  <conditionalFormatting sqref="F167:G167">
    <cfRule type="cellIs" priority="10" dxfId="146" operator="equal" stopIfTrue="1">
      <formula>"НЕРАВНЕНИЕ!"</formula>
    </cfRule>
    <cfRule type="cellIs" priority="11" dxfId="16" operator="equal" stopIfTrue="1">
      <formula>"НЕРАВНЕНИЕ!"</formula>
    </cfRule>
  </conditionalFormatting>
  <conditionalFormatting sqref="O167 I167:J167">
    <cfRule type="cellIs" priority="9" dxfId="146" operator="equal" stopIfTrue="1">
      <formula>"НЕРАВНЕНИЕ!"</formula>
    </cfRule>
  </conditionalFormatting>
  <conditionalFormatting sqref="L167 N167">
    <cfRule type="cellIs" priority="8" dxfId="146" operator="equal" stopIfTrue="1">
      <formula>"НЕРАВНЕНИЕ!"</formula>
    </cfRule>
  </conditionalFormatting>
  <conditionalFormatting sqref="M167">
    <cfRule type="cellIs" priority="7" dxfId="146" operator="equal" stopIfTrue="1">
      <formula>"НЕРАВНЕНИЕ!"</formula>
    </cfRule>
  </conditionalFormatting>
  <conditionalFormatting sqref="P167">
    <cfRule type="cellIs" priority="6" dxfId="146" operator="equal" stopIfTrue="1">
      <formula>"НЕРАВНЕНИЕ!"</formula>
    </cfRule>
  </conditionalFormatting>
  <conditionalFormatting sqref="O170:P171 L170:M171 I170:J171 F170:G171">
    <cfRule type="cellIs" priority="5" dxfId="155" operator="equal" stopIfTrue="1">
      <formula>0</formula>
    </cfRule>
  </conditionalFormatting>
  <conditionalFormatting sqref="O173:P174">
    <cfRule type="cellIs" priority="4" dxfId="155" operator="equal" stopIfTrue="1">
      <formula>0</formula>
    </cfRule>
  </conditionalFormatting>
  <conditionalFormatting sqref="B6:C6">
    <cfRule type="cellIs" priority="3" dxfId="145" operator="equal" stopIfTrue="1">
      <formula>0</formula>
    </cfRule>
  </conditionalFormatting>
  <conditionalFormatting sqref="M1">
    <cfRule type="cellIs" priority="2" dxfId="147" operator="equal" stopIfTrue="1">
      <formula>0</formula>
    </cfRule>
  </conditionalFormatting>
  <conditionalFormatting sqref="B1">
    <cfRule type="cellIs" priority="1" dxfId="147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="80" zoomScaleNormal="80" zoomScalePageLayoutView="0" workbookViewId="0" topLeftCell="A1">
      <pane xSplit="5" ySplit="12" topLeftCell="F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64" sqref="J16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МИНИСТЕРСКИ СЪВЕТ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695025</v>
      </c>
      <c r="J1" s="806"/>
      <c r="K1" s="427"/>
      <c r="L1" s="428" t="s">
        <v>245</v>
      </c>
      <c r="M1" s="429">
        <f>+'Cash-Flow-2020-Leva'!M1</f>
        <v>300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 t="str">
        <f>+'Cash-Flow-2020-Leva'!H3</f>
        <v>www.government.bg</v>
      </c>
      <c r="I3" s="816"/>
      <c r="J3" s="816"/>
      <c r="K3" s="817"/>
      <c r="L3" s="51" t="s">
        <v>246</v>
      </c>
      <c r="M3" s="818">
        <f>+'Cash-Flow-2020-Leva'!M3:P3</f>
        <v>0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МИНИСТЕРСКИ СЪВЕТ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30.09.2020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30.09.2020 г.</v>
      </c>
      <c r="G11" s="384">
        <f>+'Cash-Flow-2020-Leva'!G11</f>
        <v>2019</v>
      </c>
      <c r="H11" s="5"/>
      <c r="I11" s="576" t="str">
        <f>+O8</f>
        <v>30.09.2020 г.</v>
      </c>
      <c r="J11" s="385">
        <f>+'Cash-Flow-2020-Leva'!J11</f>
        <v>2019</v>
      </c>
      <c r="K11" s="5"/>
      <c r="L11" s="577" t="str">
        <f>+O8</f>
        <v>30.09.2020 г.</v>
      </c>
      <c r="M11" s="386">
        <f>+'Cash-Flow-2020-Leva'!M11</f>
        <v>2019</v>
      </c>
      <c r="N11" s="450"/>
      <c r="O11" s="578" t="str">
        <f>+O8</f>
        <v>30.09.2020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575.319</v>
      </c>
      <c r="G16" s="255">
        <f>+'Cash-Flow-2020-Leva'!G16/1000</f>
        <v>965.032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575.319</v>
      </c>
      <c r="P16" s="372">
        <f t="shared" si="1"/>
        <v>965.032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49.649</v>
      </c>
      <c r="G18" s="243">
        <f>+'Cash-Flow-2020-Leva'!G18/1000</f>
        <v>154.856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49.649</v>
      </c>
      <c r="P18" s="366">
        <f t="shared" si="1"/>
        <v>154.856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3046.687</v>
      </c>
      <c r="G19" s="266">
        <f>+'Cash-Flow-2020-Leva'!G19/1000</f>
        <v>6796.378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3046.687</v>
      </c>
      <c r="P19" s="400">
        <f t="shared" si="1"/>
        <v>6796.378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1814.608</v>
      </c>
      <c r="G20" s="266">
        <f>+'Cash-Flow-2020-Leva'!G20/1000</f>
        <v>3206.131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1814.608</v>
      </c>
      <c r="P20" s="400">
        <f t="shared" si="1"/>
        <v>3206.131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353.323</v>
      </c>
      <c r="G21" s="266">
        <f>+'Cash-Flow-2020-Leva'!G21/1000</f>
        <v>950.019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353.323</v>
      </c>
      <c r="P21" s="400">
        <f t="shared" si="1"/>
        <v>950.019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0.218</v>
      </c>
      <c r="G22" s="266">
        <f>+'Cash-Flow-2020-Leva'!G22/1000</f>
        <v>0.406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-0.002</v>
      </c>
      <c r="N22" s="451"/>
      <c r="O22" s="348">
        <f t="shared" si="0"/>
        <v>0.218</v>
      </c>
      <c r="P22" s="400">
        <f t="shared" si="1"/>
        <v>0.404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550.034</v>
      </c>
      <c r="G24" s="255">
        <f>+'Cash-Flow-2020-Leva'!G24/1000</f>
        <v>414.393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550.034</v>
      </c>
      <c r="P24" s="372">
        <f t="shared" si="1"/>
        <v>414.393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6389.838</v>
      </c>
      <c r="G25" s="223">
        <f>+SUM(G15,G16,G18,G19,G20,G21,G22,G23,G24)</f>
        <v>12487.215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-0.002</v>
      </c>
      <c r="N25" s="451"/>
      <c r="O25" s="350">
        <f>+SUM(O15,O16,O18,O19,O20,O21,O22,O23,O24)</f>
        <v>6389.838</v>
      </c>
      <c r="P25" s="351">
        <f>+SUM(P15,P16,P18,P19,P20,P21,P22,P23,P24)</f>
        <v>12487.213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2808.136</v>
      </c>
      <c r="G27" s="243">
        <f>+'Cash-Flow-2020-Leva'!G27/1000</f>
        <v>4689.922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2808.136</v>
      </c>
      <c r="P27" s="366">
        <f t="shared" si="2"/>
        <v>4689.922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1109.549</v>
      </c>
      <c r="G28" s="266">
        <f>+'Cash-Flow-2020-Leva'!G28/1000</f>
        <v>1189.372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1109.549</v>
      </c>
      <c r="P28" s="400">
        <f t="shared" si="2"/>
        <v>1189.372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3917.685</v>
      </c>
      <c r="G30" s="223">
        <f>+SUM(G27:G29)</f>
        <v>5879.294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3917.685</v>
      </c>
      <c r="P30" s="351">
        <f>+SUM(P27:P29)</f>
        <v>5879.294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-2427.305</v>
      </c>
      <c r="G37" s="223">
        <f>+'Cash-Flow-2020-Leva'!G37/1000</f>
        <v>-3552.537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-2427.305</v>
      </c>
      <c r="P37" s="351">
        <f t="shared" si="3"/>
        <v>-3552.537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-1818.234</v>
      </c>
      <c r="G38" s="268">
        <f>+'Cash-Flow-2020-Leva'!G38/1000</f>
        <v>-2944.202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-1818.234</v>
      </c>
      <c r="P38" s="401">
        <f t="shared" si="3"/>
        <v>-2944.202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-596.242</v>
      </c>
      <c r="G39" s="270">
        <f>+'Cash-Flow-2020-Leva'!G39/1000</f>
        <v>-585.704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-596.242</v>
      </c>
      <c r="P39" s="402">
        <f t="shared" si="3"/>
        <v>-585.704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-12.829</v>
      </c>
      <c r="G40" s="272">
        <f>+'Cash-Flow-2020-Leva'!G40/1000</f>
        <v>-22.631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-12.829</v>
      </c>
      <c r="P40" s="403">
        <f t="shared" si="3"/>
        <v>-22.631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6.21</v>
      </c>
      <c r="G42" s="223">
        <f>+'Cash-Flow-2020-Leva'!G42/1000</f>
        <v>24.817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6.21</v>
      </c>
      <c r="P42" s="351">
        <f>+G42+J42+M42</f>
        <v>24.817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2393.481</v>
      </c>
      <c r="J44" s="243">
        <f>+'Cash-Flow-2020-Leva'!J44/1000</f>
        <v>4770.589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2393.481</v>
      </c>
      <c r="P44" s="366">
        <f t="shared" si="4"/>
        <v>4770.589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4.89</v>
      </c>
      <c r="H45" s="265"/>
      <c r="I45" s="267">
        <f>+'Cash-Flow-2020-Leva'!I45/1000</f>
        <v>119.765</v>
      </c>
      <c r="J45" s="266">
        <f>+'Cash-Flow-2020-Leva'!J45/1000</f>
        <v>572.301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119.765</v>
      </c>
      <c r="P45" s="400">
        <f t="shared" si="4"/>
        <v>577.191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2.758</v>
      </c>
      <c r="J46" s="266">
        <f>+'Cash-Flow-2020-Leva'!J46/1000</f>
        <v>47.596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2.758</v>
      </c>
      <c r="P46" s="400">
        <f t="shared" si="4"/>
        <v>47.596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23</v>
      </c>
      <c r="G47" s="255">
        <f>+'Cash-Flow-2020-Leva'!G47/1000</f>
        <v>52.865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23</v>
      </c>
      <c r="P47" s="372">
        <f t="shared" si="4"/>
        <v>52.865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23</v>
      </c>
      <c r="G48" s="223">
        <f>+SUM(G44:G47)</f>
        <v>57.755</v>
      </c>
      <c r="H48" s="265"/>
      <c r="I48" s="224">
        <f>+SUM(I44:I47)</f>
        <v>2516.004</v>
      </c>
      <c r="J48" s="223">
        <f>+SUM(J44:J47)</f>
        <v>5390.486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2539.004</v>
      </c>
      <c r="P48" s="351">
        <f>+SUM(P44:P47)</f>
        <v>5448.240999999999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7909.427999999999</v>
      </c>
      <c r="G50" s="245">
        <f>+G25+G30+G37+G42+G48</f>
        <v>14896.543999999996</v>
      </c>
      <c r="H50" s="265"/>
      <c r="I50" s="246">
        <f>+I25+I30+I37+I42+I48</f>
        <v>2516.004</v>
      </c>
      <c r="J50" s="245">
        <f>+J25+J30+J37+J42+J48</f>
        <v>5390.486</v>
      </c>
      <c r="K50" s="265"/>
      <c r="L50" s="246">
        <f>+L25+L30+L37+L42+L48</f>
        <v>0</v>
      </c>
      <c r="M50" s="245">
        <f>+M25+M30+M37+M42+M48</f>
        <v>-0.002</v>
      </c>
      <c r="N50" s="451"/>
      <c r="O50" s="367">
        <f>+O25+O30+O37+O42+O48</f>
        <v>10425.431999999999</v>
      </c>
      <c r="P50" s="368">
        <f>+P25+P30+P37+P42+P48</f>
        <v>20287.027999999995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11481.802</v>
      </c>
      <c r="G53" s="216">
        <f>+'Cash-Flow-2020-Leva'!G53/1000</f>
        <v>36711.286</v>
      </c>
      <c r="H53" s="265"/>
      <c r="I53" s="226">
        <f>+'Cash-Flow-2020-Leva'!I53/1000</f>
        <v>6458.374</v>
      </c>
      <c r="J53" s="216">
        <f>+'Cash-Flow-2020-Leva'!J53/1000</f>
        <v>10501.143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17940.176</v>
      </c>
      <c r="P53" s="347">
        <f t="shared" si="5"/>
        <v>47212.429000000004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232.155</v>
      </c>
      <c r="G54" s="255">
        <f>+'Cash-Flow-2020-Leva'!G54/1000</f>
        <v>358.039</v>
      </c>
      <c r="H54" s="265"/>
      <c r="I54" s="256">
        <f>+'Cash-Flow-2020-Leva'!I54/1000</f>
        <v>1.82</v>
      </c>
      <c r="J54" s="255">
        <f>+'Cash-Flow-2020-Leva'!J54/1000</f>
        <v>3.406</v>
      </c>
      <c r="K54" s="265"/>
      <c r="L54" s="256">
        <f>+'Cash-Flow-2020-Leva'!L54/1000</f>
        <v>0</v>
      </c>
      <c r="M54" s="255">
        <f>+'Cash-Flow-2020-Leva'!M54/1000</f>
        <v>0.019</v>
      </c>
      <c r="N54" s="451"/>
      <c r="O54" s="349">
        <f t="shared" si="5"/>
        <v>233.975</v>
      </c>
      <c r="P54" s="372">
        <f t="shared" si="5"/>
        <v>361.464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3145.298</v>
      </c>
      <c r="G55" s="255">
        <f>+'Cash-Flow-2020-Leva'!G55/1000</f>
        <v>10341.497</v>
      </c>
      <c r="H55" s="265"/>
      <c r="I55" s="256">
        <f>+'Cash-Flow-2020-Leva'!I55/1000</f>
        <v>1.693</v>
      </c>
      <c r="J55" s="255">
        <f>+'Cash-Flow-2020-Leva'!J55/1000</f>
        <v>16.584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3146.991</v>
      </c>
      <c r="P55" s="372">
        <f t="shared" si="5"/>
        <v>10358.081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31403.195</v>
      </c>
      <c r="G56" s="255">
        <f>+'Cash-Flow-2020-Leva'!G56/1000</f>
        <v>55468.317</v>
      </c>
      <c r="H56" s="265"/>
      <c r="I56" s="256">
        <f>+'Cash-Flow-2020-Leva'!I56/1000</f>
        <v>4112.491</v>
      </c>
      <c r="J56" s="255">
        <f>+'Cash-Flow-2020-Leva'!J56/1000</f>
        <v>5296.353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35515.686</v>
      </c>
      <c r="P56" s="372">
        <f t="shared" si="5"/>
        <v>60764.670000000006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7789.684</v>
      </c>
      <c r="G57" s="255">
        <f>+'Cash-Flow-2020-Leva'!G57/1000</f>
        <v>12547.993</v>
      </c>
      <c r="H57" s="265"/>
      <c r="I57" s="256">
        <f>+'Cash-Flow-2020-Leva'!I57/1000</f>
        <v>980.924</v>
      </c>
      <c r="J57" s="255">
        <f>+'Cash-Flow-2020-Leva'!J57/1000</f>
        <v>1277.97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8770.608</v>
      </c>
      <c r="P57" s="372">
        <f t="shared" si="5"/>
        <v>13825.963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54052.134</v>
      </c>
      <c r="G58" s="249">
        <f>+SUM(G53:G57)</f>
        <v>115427.132</v>
      </c>
      <c r="H58" s="265"/>
      <c r="I58" s="250">
        <f>+SUM(I53:I57)</f>
        <v>11555.302</v>
      </c>
      <c r="J58" s="249">
        <f>+SUM(J53:J57)</f>
        <v>17095.456000000002</v>
      </c>
      <c r="K58" s="265"/>
      <c r="L58" s="250">
        <f>+SUM(L53:L57)</f>
        <v>0</v>
      </c>
      <c r="M58" s="249">
        <f>+SUM(M53:M57)</f>
        <v>0.019</v>
      </c>
      <c r="N58" s="451"/>
      <c r="O58" s="369">
        <f>+SUM(O53:O57)</f>
        <v>65607.436</v>
      </c>
      <c r="P58" s="370">
        <f>+SUM(P53:P57)</f>
        <v>132522.607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9496.434</v>
      </c>
      <c r="G61" s="255">
        <f>+'Cash-Flow-2020-Leva'!G61/1000</f>
        <v>22078.849</v>
      </c>
      <c r="H61" s="265"/>
      <c r="I61" s="256">
        <f>+'Cash-Flow-2020-Leva'!I61/1000</f>
        <v>4802.105</v>
      </c>
      <c r="J61" s="255">
        <f>+'Cash-Flow-2020-Leva'!J61/1000</f>
        <v>9994.715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14298.538999999999</v>
      </c>
      <c r="P61" s="372">
        <f t="shared" si="6"/>
        <v>32073.564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123.545</v>
      </c>
      <c r="G62" s="255">
        <f>+'Cash-Flow-2020-Leva'!G62/1000</f>
        <v>1421.808</v>
      </c>
      <c r="H62" s="265"/>
      <c r="I62" s="256">
        <f>+'Cash-Flow-2020-Leva'!I62/1000</f>
        <v>2006.341</v>
      </c>
      <c r="J62" s="255">
        <f>+'Cash-Flow-2020-Leva'!J62/1000</f>
        <v>1347.978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2129.886</v>
      </c>
      <c r="P62" s="372">
        <f t="shared" si="6"/>
        <v>2769.786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9619.979</v>
      </c>
      <c r="G65" s="249">
        <f>+SUM(G60:G63)</f>
        <v>23500.657</v>
      </c>
      <c r="H65" s="265"/>
      <c r="I65" s="250">
        <f>+SUM(I60:I63)</f>
        <v>6808.446</v>
      </c>
      <c r="J65" s="249">
        <f>+SUM(J60:J63)</f>
        <v>11342.693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16428.425</v>
      </c>
      <c r="P65" s="370">
        <f>+SUM(P60:P63)</f>
        <v>34843.35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53.864</v>
      </c>
      <c r="G71" s="216">
        <f>+'Cash-Flow-2020-Leva'!G71/1000</f>
        <v>164.113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53.864</v>
      </c>
      <c r="P71" s="347">
        <f>+G71+J71+M71</f>
        <v>164.113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53.864</v>
      </c>
      <c r="G73" s="249">
        <f>+SUM(G71:G72)</f>
        <v>164.113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53.864</v>
      </c>
      <c r="P73" s="370">
        <f>+SUM(P71:P72)</f>
        <v>164.113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30685.333</v>
      </c>
      <c r="G75" s="216">
        <f>+'Cash-Flow-2020-Leva'!G75/1000</f>
        <v>36260.135</v>
      </c>
      <c r="H75" s="265"/>
      <c r="I75" s="226">
        <f>+'Cash-Flow-2020-Leva'!I75/1000</f>
        <v>27.301</v>
      </c>
      <c r="J75" s="216">
        <f>+'Cash-Flow-2020-Leva'!J75/1000</f>
        <v>235.349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30712.634</v>
      </c>
      <c r="P75" s="347">
        <f>+G75+J75+M75</f>
        <v>36495.484000000004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30685.333</v>
      </c>
      <c r="G77" s="249">
        <f>+SUM(G75:G76)</f>
        <v>36260.135</v>
      </c>
      <c r="H77" s="265"/>
      <c r="I77" s="250">
        <f>+SUM(I75:I76)</f>
        <v>27.301</v>
      </c>
      <c r="J77" s="249">
        <f>+SUM(J75:J76)</f>
        <v>235.349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30712.634</v>
      </c>
      <c r="P77" s="370">
        <f>+SUM(P75:P76)</f>
        <v>36495.484000000004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94411.31</v>
      </c>
      <c r="G79" s="260">
        <f>+G58+G65+G69+G73+G77</f>
        <v>175352.037</v>
      </c>
      <c r="H79" s="265"/>
      <c r="I79" s="257">
        <f>+I58+I65+I69+I73+I77</f>
        <v>18391.049</v>
      </c>
      <c r="J79" s="260">
        <f>+J58+J65+J69+J73+J77</f>
        <v>28673.498</v>
      </c>
      <c r="K79" s="265"/>
      <c r="L79" s="257">
        <f>+L58+L65+L69+L73+L77</f>
        <v>0</v>
      </c>
      <c r="M79" s="260">
        <f>+M58+M65+M69+M73+M77</f>
        <v>0.019</v>
      </c>
      <c r="N79" s="451"/>
      <c r="O79" s="373">
        <f>+O58+O65+O69+O73+O77</f>
        <v>112802.359</v>
      </c>
      <c r="P79" s="380">
        <f>+P58+P65+P69+P73+P77</f>
        <v>204025.554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90641.884</v>
      </c>
      <c r="G81" s="243">
        <f>+'Cash-Flow-2020-Leva'!G81/1000</f>
        <v>160684.727</v>
      </c>
      <c r="H81" s="265"/>
      <c r="I81" s="244">
        <f>+'Cash-Flow-2020-Leva'!I81/1000</f>
        <v>10216.026</v>
      </c>
      <c r="J81" s="243">
        <f>+'Cash-Flow-2020-Leva'!J81/1000</f>
        <v>22969.255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100857.91</v>
      </c>
      <c r="P81" s="366">
        <f>+G81+J81+M81</f>
        <v>183653.98200000002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90641.884</v>
      </c>
      <c r="G83" s="258">
        <f>+G81+G82</f>
        <v>160684.727</v>
      </c>
      <c r="H83" s="265"/>
      <c r="I83" s="259">
        <f>+I81+I82</f>
        <v>10216.026</v>
      </c>
      <c r="J83" s="258">
        <f>+J81+J82</f>
        <v>22969.255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100857.91</v>
      </c>
      <c r="P83" s="375">
        <f>+P81+P82</f>
        <v>183653.98200000002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4140.002000000008</v>
      </c>
      <c r="G85" s="279">
        <f>+G50-G79+G83</f>
        <v>229.23399999999674</v>
      </c>
      <c r="H85" s="265"/>
      <c r="I85" s="280">
        <f>+I50-I79+I83</f>
        <v>-5659.018999999998</v>
      </c>
      <c r="J85" s="279">
        <f>+J50-J79+J83</f>
        <v>-313.7569999999978</v>
      </c>
      <c r="K85" s="265"/>
      <c r="L85" s="280">
        <f>+L50-L79+L83</f>
        <v>0</v>
      </c>
      <c r="M85" s="279">
        <f>+M50-M79+M83</f>
        <v>-0.020999999999999998</v>
      </c>
      <c r="N85" s="451"/>
      <c r="O85" s="376">
        <f>+O50-O79+O83</f>
        <v>-1519.0169999999925</v>
      </c>
      <c r="P85" s="377">
        <f>+P50-P79+P83</f>
        <v>-84.54399999999441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-4140.002</v>
      </c>
      <c r="G86" s="281">
        <f>+G103+G122+G129-G134</f>
        <v>-229.23400000000015</v>
      </c>
      <c r="H86" s="265"/>
      <c r="I86" s="282">
        <f>+I103+I122+I129-I134</f>
        <v>5659.019</v>
      </c>
      <c r="J86" s="281">
        <f>+J103+J122+J129-J134</f>
        <v>313.757</v>
      </c>
      <c r="K86" s="265"/>
      <c r="L86" s="282">
        <f>+L103+L122+L129-L134</f>
        <v>0</v>
      </c>
      <c r="M86" s="281">
        <f>+M103+M122+M129-M134</f>
        <v>0.021000000000640284</v>
      </c>
      <c r="N86" s="451"/>
      <c r="O86" s="378">
        <f>+O103+O122+O129-O134</f>
        <v>1519.0169999999962</v>
      </c>
      <c r="P86" s="379">
        <f>+P103+P122+P129-P134</f>
        <v>84.54400000000169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-30.823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-30.823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-30.823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-30.823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3.943</v>
      </c>
      <c r="G100" s="255">
        <f>+'Cash-Flow-2020-Leva'!G100/1000</f>
        <v>4.395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3.943</v>
      </c>
      <c r="P100" s="372">
        <f>+G100+J100+M100</f>
        <v>4.395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3.943</v>
      </c>
      <c r="G101" s="223">
        <f>+SUM(G99:G100)</f>
        <v>4.395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3.943</v>
      </c>
      <c r="P101" s="351">
        <f>+SUM(P99:P100)</f>
        <v>4.395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-26.88</v>
      </c>
      <c r="G103" s="245">
        <f>+G91+G97+G101</f>
        <v>4.395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-26.88</v>
      </c>
      <c r="P103" s="368">
        <f>+P91+P97+P101</f>
        <v>4.395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2.44</v>
      </c>
      <c r="G118" s="216">
        <f>+'Cash-Flow-2020-Leva'!G118/1000</f>
        <v>-18.446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-286.01</v>
      </c>
      <c r="M118" s="216">
        <f>+'Cash-Flow-2020-Leva'!M118/1000</f>
        <v>3651.688</v>
      </c>
      <c r="N118" s="451"/>
      <c r="O118" s="354">
        <f>+F118+I118+L118</f>
        <v>-283.57</v>
      </c>
      <c r="P118" s="347">
        <f>+G118+J118+M118</f>
        <v>3633.242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2.44</v>
      </c>
      <c r="G120" s="249">
        <f>+SUM(G118:G119)</f>
        <v>-18.446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-286.01</v>
      </c>
      <c r="M120" s="249">
        <f>+SUM(M118:M119)</f>
        <v>3651.688</v>
      </c>
      <c r="N120" s="451"/>
      <c r="O120" s="369">
        <f>+SUM(O118:O119)</f>
        <v>-283.57</v>
      </c>
      <c r="P120" s="370">
        <f>+SUM(P118:P119)</f>
        <v>3633.242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2.44</v>
      </c>
      <c r="G122" s="260">
        <f>+G108+G112+G116+G120</f>
        <v>-18.446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-286.01</v>
      </c>
      <c r="M122" s="260">
        <f>+M108+M112+M116+M120</f>
        <v>3651.688</v>
      </c>
      <c r="N122" s="451"/>
      <c r="O122" s="373">
        <f>+O108+O112+O116+O120</f>
        <v>-283.57</v>
      </c>
      <c r="P122" s="380">
        <f>+P108+P112+P116+P120</f>
        <v>3633.242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-5274.453</v>
      </c>
      <c r="G125" s="255">
        <f>+'Cash-Flow-2020-Leva'!G125/1000</f>
        <v>-54.926</v>
      </c>
      <c r="H125" s="265"/>
      <c r="I125" s="256">
        <f>+'Cash-Flow-2020-Leva'!I125/1000</f>
        <v>5274.453</v>
      </c>
      <c r="J125" s="255">
        <f>+'Cash-Flow-2020-Leva'!J125/1000</f>
        <v>54.926</v>
      </c>
      <c r="K125" s="265"/>
      <c r="L125" s="256">
        <f>+'Cash-Flow-2020-Leva'!L125/1000</f>
        <v>-11008.339</v>
      </c>
      <c r="M125" s="255">
        <f>+'Cash-Flow-2020-Leva'!M125/1000</f>
        <v>13027.451</v>
      </c>
      <c r="N125" s="451"/>
      <c r="O125" s="349">
        <f t="shared" si="8"/>
        <v>-11008.339</v>
      </c>
      <c r="P125" s="372">
        <f t="shared" si="8"/>
        <v>13027.451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-575.721</v>
      </c>
      <c r="G126" s="255">
        <f>+'Cash-Flow-2020-Leva'!G126/1000</f>
        <v>-258.831</v>
      </c>
      <c r="H126" s="265"/>
      <c r="I126" s="256">
        <f>+'Cash-Flow-2020-Leva'!I126/1000</f>
        <v>384.566</v>
      </c>
      <c r="J126" s="255">
        <f>+'Cash-Flow-2020-Leva'!J126/1000</f>
        <v>258.831</v>
      </c>
      <c r="K126" s="265"/>
      <c r="L126" s="256">
        <f>+'Cash-Flow-2020-Leva'!L126/1000</f>
        <v>0</v>
      </c>
      <c r="M126" s="255">
        <f>+'Cash-Flow-2020-Leva'!M126/1000</f>
        <v>29.074</v>
      </c>
      <c r="N126" s="451"/>
      <c r="O126" s="349">
        <f t="shared" si="8"/>
        <v>-191.15500000000003</v>
      </c>
      <c r="P126" s="372">
        <f t="shared" si="8"/>
        <v>29.074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-5850.174000000001</v>
      </c>
      <c r="G129" s="258">
        <f>+SUM(G124,G125,G126,G128)</f>
        <v>-313.757</v>
      </c>
      <c r="H129" s="265"/>
      <c r="I129" s="259">
        <f>+SUM(I124,I125,I126,I128)</f>
        <v>5659.019</v>
      </c>
      <c r="J129" s="258">
        <f>+SUM(J124,J125,J126,J128)</f>
        <v>313.757</v>
      </c>
      <c r="K129" s="265"/>
      <c r="L129" s="259">
        <f>+SUM(L124,L125,L126,L128)</f>
        <v>-11008.339</v>
      </c>
      <c r="M129" s="258">
        <f>+SUM(M124,M125,M126,M128)</f>
        <v>13056.525</v>
      </c>
      <c r="N129" s="451"/>
      <c r="O129" s="374">
        <f>+SUM(O124,O125,O126,O128)</f>
        <v>-11199.494</v>
      </c>
      <c r="P129" s="375">
        <f>+SUM(P124,P125,P126,P128)</f>
        <v>13056.525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3815.757</v>
      </c>
      <c r="G131" s="243">
        <f>+'Cash-Flow-2020-Leva'!G131/1000</f>
        <v>3920.803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36808.375</v>
      </c>
      <c r="M131" s="243">
        <f>+'Cash-Flow-2020-Leva'!M131/1000</f>
        <v>20100.183</v>
      </c>
      <c r="N131" s="451"/>
      <c r="O131" s="353">
        <f aca="true" t="shared" si="9" ref="O131:P133">+F131+I131+L131</f>
        <v>40624.132</v>
      </c>
      <c r="P131" s="366">
        <f t="shared" si="9"/>
        <v>24020.986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-0.599</v>
      </c>
      <c r="G132" s="255">
        <f>+'Cash-Flow-2020-Leva'!G132/1000</f>
        <v>-6.472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-0.599</v>
      </c>
      <c r="P132" s="372">
        <f t="shared" si="9"/>
        <v>-6.472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2080.546</v>
      </c>
      <c r="G133" s="255">
        <f>+'Cash-Flow-2020-Leva'!G133/1000</f>
        <v>3815.757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25514.026</v>
      </c>
      <c r="M133" s="255">
        <f>+'Cash-Flow-2020-Leva'!M133/1000</f>
        <v>36808.375</v>
      </c>
      <c r="N133" s="451"/>
      <c r="O133" s="349">
        <f t="shared" si="9"/>
        <v>27594.572</v>
      </c>
      <c r="P133" s="372">
        <f t="shared" si="9"/>
        <v>40624.132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-1734.6120000000003</v>
      </c>
      <c r="G134" s="263">
        <f>+G133-G131-G132</f>
        <v>-98.57399999999983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-11294.348999999998</v>
      </c>
      <c r="M134" s="263">
        <f>+M133-M131-M132</f>
        <v>16708.192</v>
      </c>
      <c r="N134" s="451"/>
      <c r="O134" s="382">
        <f>+O133-O131-O132</f>
        <v>-13028.960999999998</v>
      </c>
      <c r="P134" s="383">
        <f>+P133-P131-P132</f>
        <v>16609.618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10122.878</v>
      </c>
      <c r="G137" s="243">
        <f>+'Cash-Flow-2020-Leva'!G137/1000</f>
        <v>0</v>
      </c>
      <c r="H137" s="265"/>
      <c r="I137" s="244">
        <f>+'Cash-Flow-2020-Leva'!I137/1000</f>
        <v>3889.151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14012.029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8391.592</v>
      </c>
      <c r="G139" s="255">
        <f>+'Cash-Flow-2020-Leva'!G139/1000</f>
        <v>10122.878</v>
      </c>
      <c r="H139" s="265"/>
      <c r="I139" s="256">
        <f>+'Cash-Flow-2020-Leva'!I139/1000</f>
        <v>3566.265</v>
      </c>
      <c r="J139" s="255">
        <f>+'Cash-Flow-2020-Leva'!J139/1000</f>
        <v>3889.151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11957.857</v>
      </c>
      <c r="P139" s="372">
        <f t="shared" si="10"/>
        <v>14012.029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-1731.286</v>
      </c>
      <c r="G140" s="263">
        <f>+G139-G137-G138</f>
        <v>10122.878</v>
      </c>
      <c r="H140" s="265"/>
      <c r="I140" s="264">
        <f>+I139-I137-I138</f>
        <v>-322.88599999999997</v>
      </c>
      <c r="J140" s="263">
        <f>+J139-J137-J138</f>
        <v>3889.151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-2054.1720000000005</v>
      </c>
      <c r="P140" s="383">
        <f>+P139-P137-P138</f>
        <v>14012.029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-3465.898</v>
      </c>
      <c r="G142" s="263">
        <f>+G134+G140</f>
        <v>10024.304</v>
      </c>
      <c r="H142" s="265"/>
      <c r="I142" s="524">
        <f>+I134+I140</f>
        <v>-322.88599999999997</v>
      </c>
      <c r="J142" s="525">
        <f>+J134+J140</f>
        <v>3889.151</v>
      </c>
      <c r="K142" s="265"/>
      <c r="L142" s="524">
        <f>+L134+L140</f>
        <v>-11294.348999999998</v>
      </c>
      <c r="M142" s="525">
        <f>+M134+M140</f>
        <v>16708.192</v>
      </c>
      <c r="N142" s="451"/>
      <c r="O142" s="536">
        <f>+O134+O140</f>
        <v>-15083.132999999998</v>
      </c>
      <c r="P142" s="537">
        <f>+P134+P140</f>
        <v>30621.646999999997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23102020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3" operator="notEqual" stopIfTrue="1">
      <formula>0</formula>
    </cfRule>
  </conditionalFormatting>
  <conditionalFormatting sqref="B135 B143:B146">
    <cfRule type="cellIs" priority="152" dxfId="144" operator="notEqual" stopIfTrue="1">
      <formula>0</formula>
    </cfRule>
    <cfRule type="cellIs" priority="133" dxfId="153" operator="equal">
      <formula>0</formula>
    </cfRule>
  </conditionalFormatting>
  <conditionalFormatting sqref="F150:G151">
    <cfRule type="cellIs" priority="141" dxfId="146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6" operator="equal" stopIfTrue="1">
      <formula>"НЕРАВНЕНИЕ!"</formula>
    </cfRule>
  </conditionalFormatting>
  <conditionalFormatting sqref="L150:L151 N150:N151">
    <cfRule type="cellIs" priority="139" dxfId="146" operator="equal" stopIfTrue="1">
      <formula>"НЕРАВНЕНИЕ!"</formula>
    </cfRule>
  </conditionalFormatting>
  <conditionalFormatting sqref="F153:G154">
    <cfRule type="cellIs" priority="137" dxfId="146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6" operator="equal" stopIfTrue="1">
      <formula>"НЕРАВНЕНИЕ !"</formula>
    </cfRule>
  </conditionalFormatting>
  <conditionalFormatting sqref="L153:L154 N153:N154">
    <cfRule type="cellIs" priority="135" dxfId="146" operator="equal" stopIfTrue="1">
      <formula>"НЕРАВНЕНИЕ !"</formula>
    </cfRule>
  </conditionalFormatting>
  <conditionalFormatting sqref="L153:L154 O153:O154 F153:G154 I153:J154">
    <cfRule type="cellIs" priority="134" dxfId="146" operator="notEqual">
      <formula>0</formula>
    </cfRule>
  </conditionalFormatting>
  <conditionalFormatting sqref="L84">
    <cfRule type="cellIs" priority="127" dxfId="143" operator="notEqual" stopIfTrue="1">
      <formula>0</formula>
    </cfRule>
  </conditionalFormatting>
  <conditionalFormatting sqref="O84">
    <cfRule type="cellIs" priority="126" dxfId="143" operator="notEqual" stopIfTrue="1">
      <formula>0</formula>
    </cfRule>
  </conditionalFormatting>
  <conditionalFormatting sqref="L135 L143:L146">
    <cfRule type="cellIs" priority="131" dxfId="143" operator="notEqual" stopIfTrue="1">
      <formula>0</formula>
    </cfRule>
  </conditionalFormatting>
  <conditionalFormatting sqref="O135 O143:O146">
    <cfRule type="cellIs" priority="130" dxfId="143" operator="notEqual" stopIfTrue="1">
      <formula>0</formula>
    </cfRule>
  </conditionalFormatting>
  <conditionalFormatting sqref="F156">
    <cfRule type="cellIs" priority="123" dxfId="148" operator="equal">
      <formula>0</formula>
    </cfRule>
  </conditionalFormatting>
  <conditionalFormatting sqref="G156">
    <cfRule type="cellIs" priority="118" dxfId="148" operator="equal">
      <formula>0</formula>
    </cfRule>
  </conditionalFormatting>
  <conditionalFormatting sqref="I156">
    <cfRule type="cellIs" priority="117" dxfId="148" operator="equal">
      <formula>0</formula>
    </cfRule>
  </conditionalFormatting>
  <conditionalFormatting sqref="J156">
    <cfRule type="cellIs" priority="116" dxfId="148" operator="equal">
      <formula>0</formula>
    </cfRule>
  </conditionalFormatting>
  <conditionalFormatting sqref="L156">
    <cfRule type="cellIs" priority="115" dxfId="148" operator="equal">
      <formula>0</formula>
    </cfRule>
  </conditionalFormatting>
  <conditionalFormatting sqref="O156">
    <cfRule type="cellIs" priority="114" dxfId="148" operator="equal">
      <formula>0</formula>
    </cfRule>
  </conditionalFormatting>
  <conditionalFormatting sqref="M135 M84 M143:M146">
    <cfRule type="cellIs" priority="102" dxfId="143" operator="notEqual" stopIfTrue="1">
      <formula>0</formula>
    </cfRule>
  </conditionalFormatting>
  <conditionalFormatting sqref="M150:M151">
    <cfRule type="cellIs" priority="101" dxfId="146" operator="equal" stopIfTrue="1">
      <formula>"НЕРАВНЕНИЕ!"</formula>
    </cfRule>
  </conditionalFormatting>
  <conditionalFormatting sqref="M153:M154">
    <cfRule type="cellIs" priority="100" dxfId="146" operator="equal" stopIfTrue="1">
      <formula>"НЕРАВНЕНИЕ !"</formula>
    </cfRule>
  </conditionalFormatting>
  <conditionalFormatting sqref="M153:M154">
    <cfRule type="cellIs" priority="99" dxfId="146" operator="notEqual">
      <formula>0</formula>
    </cfRule>
  </conditionalFormatting>
  <conditionalFormatting sqref="M156">
    <cfRule type="cellIs" priority="98" dxfId="148" operator="equal">
      <formula>0</formula>
    </cfRule>
  </conditionalFormatting>
  <conditionalFormatting sqref="P135 P84 P143:P146">
    <cfRule type="cellIs" priority="96" dxfId="143" operator="notEqual" stopIfTrue="1">
      <formula>0</formula>
    </cfRule>
  </conditionalFormatting>
  <conditionalFormatting sqref="P150:P151">
    <cfRule type="cellIs" priority="95" dxfId="146" operator="equal" stopIfTrue="1">
      <formula>"НЕРАВНЕНИЕ!"</formula>
    </cfRule>
  </conditionalFormatting>
  <conditionalFormatting sqref="P153:P154">
    <cfRule type="cellIs" priority="94" dxfId="146" operator="equal" stopIfTrue="1">
      <formula>"НЕРАВНЕНИЕ !"</formula>
    </cfRule>
  </conditionalFormatting>
  <conditionalFormatting sqref="P153:P154">
    <cfRule type="cellIs" priority="93" dxfId="146" operator="notEqual">
      <formula>0</formula>
    </cfRule>
  </conditionalFormatting>
  <conditionalFormatting sqref="P156">
    <cfRule type="cellIs" priority="92" dxfId="148" operator="equal">
      <formula>0</formula>
    </cfRule>
  </conditionalFormatting>
  <conditionalFormatting sqref="L147">
    <cfRule type="cellIs" priority="90" dxfId="143" operator="notEqual" stopIfTrue="1">
      <formula>0</formula>
    </cfRule>
  </conditionalFormatting>
  <conditionalFormatting sqref="O147">
    <cfRule type="cellIs" priority="89" dxfId="143" operator="notEqual" stopIfTrue="1">
      <formula>0</formula>
    </cfRule>
  </conditionalFormatting>
  <conditionalFormatting sqref="M147">
    <cfRule type="cellIs" priority="88" dxfId="143" operator="notEqual" stopIfTrue="1">
      <formula>0</formula>
    </cfRule>
  </conditionalFormatting>
  <conditionalFormatting sqref="P147">
    <cfRule type="cellIs" priority="85" dxfId="143" operator="notEqual" stopIfTrue="1">
      <formula>0</formula>
    </cfRule>
  </conditionalFormatting>
  <conditionalFormatting sqref="B1">
    <cfRule type="cellIs" priority="84" dxfId="147" operator="equal" stopIfTrue="1">
      <formula>0</formula>
    </cfRule>
  </conditionalFormatting>
  <conditionalFormatting sqref="B3">
    <cfRule type="cellIs" priority="83" dxfId="147" operator="equal" stopIfTrue="1">
      <formula>0</formula>
    </cfRule>
  </conditionalFormatting>
  <conditionalFormatting sqref="G2:H2">
    <cfRule type="cellIs" priority="81" dxfId="146" operator="equal">
      <formula>"отчетено НЕРАВНЕНИЕ в таблица 'Status'!"</formula>
    </cfRule>
    <cfRule type="cellIs" priority="82" dxfId="148" operator="equal">
      <formula>0</formula>
    </cfRule>
  </conditionalFormatting>
  <conditionalFormatting sqref="J2">
    <cfRule type="cellIs" priority="80" dxfId="146" operator="notEqual">
      <formula>0</formula>
    </cfRule>
  </conditionalFormatting>
  <conditionalFormatting sqref="M2:N2">
    <cfRule type="cellIs" priority="79" dxfId="146" operator="notEqual">
      <formula>0</formula>
    </cfRule>
  </conditionalFormatting>
  <conditionalFormatting sqref="H1">
    <cfRule type="cellIs" priority="77" dxfId="146" operator="equal">
      <formula>"отчетено НЕРАВНЕНИЕ в таблица 'Status'!"</formula>
    </cfRule>
    <cfRule type="cellIs" priority="78" dxfId="148" operator="equal">
      <formula>0</formula>
    </cfRule>
  </conditionalFormatting>
  <conditionalFormatting sqref="K1">
    <cfRule type="cellIs" priority="76" dxfId="146" operator="notEqual">
      <formula>0</formula>
    </cfRule>
  </conditionalFormatting>
  <conditionalFormatting sqref="M1">
    <cfRule type="cellIs" priority="75" dxfId="147" operator="equal" stopIfTrue="1">
      <formula>0</formula>
    </cfRule>
  </conditionalFormatting>
  <conditionalFormatting sqref="N1">
    <cfRule type="cellIs" priority="74" dxfId="146" operator="notEqual">
      <formula>0</formula>
    </cfRule>
  </conditionalFormatting>
  <conditionalFormatting sqref="P1">
    <cfRule type="cellIs" priority="73" dxfId="147" operator="equal" stopIfTrue="1">
      <formula>0</formula>
    </cfRule>
  </conditionalFormatting>
  <conditionalFormatting sqref="S1:T1">
    <cfRule type="cellIs" priority="69" dxfId="149" operator="between" stopIfTrue="1">
      <formula>1000000000000</formula>
      <formula>9999999999999990</formula>
    </cfRule>
    <cfRule type="cellIs" priority="70" dxfId="150" operator="between" stopIfTrue="1">
      <formula>10000000000</formula>
      <formula>999999999999</formula>
    </cfRule>
    <cfRule type="cellIs" priority="71" dxfId="151" operator="between" stopIfTrue="1">
      <formula>1000000</formula>
      <formula>99999999</formula>
    </cfRule>
    <cfRule type="cellIs" priority="72" dxfId="152" operator="between" stopIfTrue="1">
      <formula>100</formula>
      <formula>9999</formula>
    </cfRule>
  </conditionalFormatting>
  <conditionalFormatting sqref="B84">
    <cfRule type="cellIs" priority="62" dxfId="144" operator="notEqual" stopIfTrue="1">
      <formula>0</formula>
    </cfRule>
    <cfRule type="cellIs" priority="61" dxfId="153" operator="equal">
      <formula>0</formula>
    </cfRule>
  </conditionalFormatting>
  <conditionalFormatting sqref="B127">
    <cfRule type="expression" priority="60" dxfId="154" stopIfTrue="1">
      <formula>$M$1=9900</formula>
    </cfRule>
  </conditionalFormatting>
  <conditionalFormatting sqref="F144:G145">
    <cfRule type="cellIs" priority="59" dxfId="143" operator="notEqual" stopIfTrue="1">
      <formula>0</formula>
    </cfRule>
  </conditionalFormatting>
  <conditionalFormatting sqref="F145">
    <cfRule type="cellIs" priority="58" dxfId="146" operator="notEqual" stopIfTrue="1">
      <formula>0</formula>
    </cfRule>
  </conditionalFormatting>
  <conditionalFormatting sqref="G145">
    <cfRule type="cellIs" priority="57" dxfId="146" operator="notEqual" stopIfTrue="1">
      <formula>0</formula>
    </cfRule>
  </conditionalFormatting>
  <conditionalFormatting sqref="G145">
    <cfRule type="cellIs" priority="56" dxfId="146" operator="notEqual" stopIfTrue="1">
      <formula>0</formula>
    </cfRule>
  </conditionalFormatting>
  <conditionalFormatting sqref="G145">
    <cfRule type="cellIs" priority="55" dxfId="146" operator="notEqual" stopIfTrue="1">
      <formula>0</formula>
    </cfRule>
  </conditionalFormatting>
  <conditionalFormatting sqref="F145">
    <cfRule type="cellIs" priority="54" dxfId="146" operator="notEqual" stopIfTrue="1">
      <formula>0</formula>
    </cfRule>
  </conditionalFormatting>
  <conditionalFormatting sqref="F145">
    <cfRule type="cellIs" priority="53" dxfId="146" operator="notEqual" stopIfTrue="1">
      <formula>0</formula>
    </cfRule>
  </conditionalFormatting>
  <conditionalFormatting sqref="F145">
    <cfRule type="cellIs" priority="52" dxfId="146" operator="notEqual" stopIfTrue="1">
      <formula>0</formula>
    </cfRule>
  </conditionalFormatting>
  <conditionalFormatting sqref="I141:J141 F141:G141">
    <cfRule type="cellIs" priority="44" dxfId="143" operator="notEqual" stopIfTrue="1">
      <formula>0</formula>
    </cfRule>
  </conditionalFormatting>
  <conditionalFormatting sqref="B141">
    <cfRule type="cellIs" priority="43" dxfId="144" operator="notEqual" stopIfTrue="1">
      <formula>0</formula>
    </cfRule>
    <cfRule type="cellIs" priority="42" dxfId="153" operator="equal">
      <formula>0</formula>
    </cfRule>
  </conditionalFormatting>
  <conditionalFormatting sqref="L141">
    <cfRule type="cellIs" priority="41" dxfId="143" operator="notEqual" stopIfTrue="1">
      <formula>0</formula>
    </cfRule>
  </conditionalFormatting>
  <conditionalFormatting sqref="O141">
    <cfRule type="cellIs" priority="40" dxfId="143" operator="notEqual" stopIfTrue="1">
      <formula>0</formula>
    </cfRule>
  </conditionalFormatting>
  <conditionalFormatting sqref="M141">
    <cfRule type="cellIs" priority="39" dxfId="143" operator="notEqual" stopIfTrue="1">
      <formula>0</formula>
    </cfRule>
  </conditionalFormatting>
  <conditionalFormatting sqref="P141">
    <cfRule type="cellIs" priority="38" dxfId="143" operator="notEqual" stopIfTrue="1">
      <formula>0</formula>
    </cfRule>
  </conditionalFormatting>
  <conditionalFormatting sqref="B5:C5">
    <cfRule type="cellIs" priority="2" dxfId="153" operator="equal" stopIfTrue="1">
      <formula>0</formula>
    </cfRule>
  </conditionalFormatting>
  <conditionalFormatting sqref="B6:C6">
    <cfRule type="cellIs" priority="1" dxfId="153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Илиана Шопова</dc:creator>
  <cp:keywords/>
  <dc:description/>
  <cp:lastModifiedBy>Илиана Шопова</cp:lastModifiedBy>
  <cp:lastPrinted>2020-10-22T12:14:55Z</cp:lastPrinted>
  <dcterms:created xsi:type="dcterms:W3CDTF">2015-12-01T07:17:04Z</dcterms:created>
  <dcterms:modified xsi:type="dcterms:W3CDTF">2020-11-05T08:56:42Z</dcterms:modified>
  <cp:category/>
  <cp:version/>
  <cp:contentType/>
  <cp:contentStatus/>
</cp:coreProperties>
</file>