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8192" windowHeight="10896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<sst xmlns="http://schemas.openxmlformats.org/spreadsheetml/2006/main" count="521" uniqueCount="352">
  <si>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</si>
  <si>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</si>
  <si>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</si>
  <si>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</si>
  <si>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</si>
  <si>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</si>
  <si>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</si>
  <si>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</si>
  <si>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</si>
  <si>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</si>
  <si>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</si>
  <si>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</si>
  <si>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</si>
  <si>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</si>
  <si>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</si>
  <si>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</si>
  <si>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</si>
  <si>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</si>
  <si>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</si>
  <si>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</si>
  <si>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</si>
  <si>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</si>
  <si>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</si>
  <si>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</si>
  <si>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</si>
  <si>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</si>
  <si>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</si>
  <si>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</si>
  <si>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</si>
  <si>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</si>
  <si>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</si>
  <si>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</si>
  <si>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</si>
  <si>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</si>
  <si>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</si>
  <si>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</si>
  <si>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</si>
  <si>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</si>
  <si>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</si>
  <si>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</si>
  <si>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</si>
  <si>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</si>
  <si>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</si>
  <si>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</si>
  <si>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</si>
  <si>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</si>
  <si>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</si>
  <si>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</si>
  <si>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</si>
  <si>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</si>
  <si>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</si>
  <si>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</si>
  <si>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</si>
  <si>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</si>
  <si>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</si>
  <si>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</si>
  <si>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</si>
  <si>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</si>
  <si>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</si>
  <si>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</si>
  <si>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</si>
  <si>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</si>
  <si>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</si>
  <si>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</si>
  <si>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</si>
  <si>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</si>
  <si>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</si>
  <si>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</si>
  <si>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</si>
  <si>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</si>
  <si>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</si>
  <si>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</si>
  <si>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</si>
  <si>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</si>
  <si>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</si>
  <si>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</si>
  <si>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</si>
  <si>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</si>
  <si>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</si>
  <si>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</si>
  <si>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</si>
  <si>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</si>
  <si>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</si>
  <si>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</si>
  <si>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</si>
  <si>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</si>
  <si>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</si>
  <si>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</si>
  <si>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</si>
  <si>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</si>
  <si>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</si>
  <si>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</si>
  <si>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</si>
  <si>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</si>
  <si>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</si>
  <si>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</si>
  <si>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</si>
  <si>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</si>
  <si>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</si>
  <si>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</si>
  <si>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</si>
  <si>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</si>
  <si>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</si>
  <si>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</si>
  <si>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</si>
  <si>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</si>
  <si>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</si>
  <si>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</si>
  <si>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</si>
  <si>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</si>
  <si>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</si>
  <si>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</si>
  <si>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</si>
  <si>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</si>
  <si>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</si>
  <si>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</si>
  <si>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</si>
  <si>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</si>
  <si>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</si>
  <si>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</si>
  <si>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</si>
  <si>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</si>
  <si>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</si>
  <si>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</si>
  <si>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</si>
  <si>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</si>
  <si>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</si>
  <si>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</si>
  <si>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</si>
  <si>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</si>
  <si>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</si>
  <si>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</si>
  <si>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</si>
  <si>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</si>
  <si>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</si>
  <si>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</si>
  <si>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</si>
  <si>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</si>
  <si>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</si>
  <si>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</si>
  <si>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</si>
  <si>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</si>
  <si>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</si>
  <si>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</si>
  <si>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</si>
  <si>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</si>
  <si>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</si>
  <si>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</si>
  <si>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</si>
  <si>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</si>
  <si>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</si>
  <si>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</si>
  <si>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</si>
  <si>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</si>
  <si>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</si>
  <si>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</si>
  <si>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</si>
  <si>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</si>
  <si>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</si>
  <si>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</si>
  <si>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</si>
  <si>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</si>
  <si>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</si>
  <si>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</si>
  <si>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</si>
  <si>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</si>
  <si>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</si>
  <si>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</si>
  <si>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</si>
  <si>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</si>
  <si>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</si>
  <si>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</si>
  <si>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</si>
  <si>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</si>
  <si>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</si>
  <si>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</si>
  <si>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</si>
  <si>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</si>
  <si>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</si>
  <si>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</si>
  <si>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</si>
  <si>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</si>
  <si>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</si>
  <si>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</si>
  <si>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</si>
  <si>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</si>
  <si>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</si>
  <si>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</si>
  <si>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</si>
  <si>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</si>
  <si>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</si>
  <si>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</si>
  <si>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</si>
  <si>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</si>
  <si>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</si>
  <si>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</si>
  <si>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</si>
  <si>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</si>
  <si>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</si>
  <si>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</si>
  <si>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</si>
  <si>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</si>
  <si>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</si>
  <si>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</si>
  <si>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</si>
  <si>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</si>
  <si>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</si>
  <si>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</si>
  <si>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</si>
  <si>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</si>
  <si>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</si>
  <si>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</si>
  <si>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</si>
  <si>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</si>
  <si>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</si>
  <si>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</si>
  <si>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</si>
  <si>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</si>
  <si>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</si>
  <si>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</si>
  <si>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</si>
  <si>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</si>
  <si>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</si>
  <si>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</si>
  <si>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</si>
  <si>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</si>
  <si>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</si>
  <si>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</si>
  <si>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</si>
  <si>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</si>
  <si>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</si>
  <si>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</si>
  <si>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</si>
  <si>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</si>
  <si>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</si>
  <si>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</si>
  <si>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</si>
  <si>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</si>
  <si>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</si>
  <si>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</si>
  <si>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</si>
  <si>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</si>
  <si>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</si>
  <si>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</si>
  <si>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</si>
  <si>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</si>
  <si>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</si>
  <si>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</si>
  <si>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</si>
  <si>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</si>
  <si>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</si>
  <si>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</si>
  <si>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</si>
  <si>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</si>
  <si>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</si>
  <si>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</si>
  <si>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</si>
  <si>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</si>
  <si>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</si>
  <si>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</si>
  <si>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</si>
  <si>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</si>
  <si>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</si>
  <si>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</si>
  <si>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</si>
  <si>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</si>
  <si>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</si>
  <si>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</si>
  <si>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</si>
  <si>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</si>
  <si>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</si>
  <si>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</si>
  <si>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</si>
  <si>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</si>
  <si>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</si>
  <si>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</si>
  <si>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</si>
  <si>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</si>
  <si>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</si>
  <si>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</si>
  <si>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</si>
  <si>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</si>
  <si>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</si>
  <si>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</si>
  <si>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</si>
  <si>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</si>
  <si>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</si>
  <si>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</si>
  <si>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</si>
  <si>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</si>
  <si>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</si>
  <si>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</si>
  <si>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</si>
  <si>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</si>
  <si>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</si>
  <si>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</si>
  <si>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</si>
  <si>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</si>
  <si>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</si>
  <si>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</si>
  <si>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</si>
  <si>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</si>
  <si>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</si>
  <si>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</si>
  <si>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</si>
  <si>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</si>
  <si>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</si>
  <si>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</si>
  <si>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</si>
  <si>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</si>
  <si>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</si>
  <si>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</si>
  <si>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</si>
  <si>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</si>
  <si>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</si>
  <si>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</si>
  <si>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</si>
  <si>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</si>
  <si>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</si>
  <si>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</si>
  <si>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</si>
  <si>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</si>
  <si>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</si>
  <si>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</si>
  <si>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</si>
  <si>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</si>
  <si>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</si>
  <si>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</si>
  <si>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</si>
  <si>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</si>
  <si>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</si>
  <si>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</si>
  <si>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</si>
  <si>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</si>
  <si>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</si>
  <si>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</si>
  <si>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</si>
  <si>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</si>
  <si>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</si>
  <si>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</si>
  <si>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</si>
  <si>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</si>
  <si>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</si>
  <si>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</si>
  <si>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</si>
  <si>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</si>
  <si>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</si>
  <si>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</si>
  <si>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</si>
  <si>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</si>
  <si>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www,government,bg</t>
  </si>
  <si>
    <t>МИНИСТЕРСКИ СЪВЕТ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</si>
</sst>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74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1" applyFont="1" applyFill="1" applyAlignment="1" applyProtection="1">
      <alignment horizontal="right"/>
      <protection/>
    </xf>
    <xf numFmtId="0" fontId="151" fillId="32" borderId="0" xfId="61" applyFont="1" applyFill="1" applyBorder="1" applyAlignment="1" applyProtection="1">
      <alignment horizontal="center"/>
      <protection/>
    </xf>
    <xf numFmtId="174" fontId="152" fillId="32" borderId="0" xfId="63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1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52" fillId="38" borderId="0" xfId="57" applyFont="1" applyFill="1" applyBorder="1">
      <alignment/>
      <protection/>
    </xf>
    <xf numFmtId="0" fontId="152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7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154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28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8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8" fontId="21" fillId="32" borderId="24" xfId="57" applyNumberFormat="1" applyFont="1" applyFill="1" applyBorder="1" applyAlignment="1">
      <alignment horizontal="center"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2" fillId="32" borderId="23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179" fontId="16" fillId="32" borderId="20" xfId="57" applyNumberFormat="1" applyFont="1" applyFill="1" applyBorder="1" applyAlignment="1">
      <alignment horizontal="left"/>
      <protection/>
    </xf>
    <xf numFmtId="179" fontId="16" fillId="32" borderId="24" xfId="57" applyNumberFormat="1" applyFont="1" applyFill="1" applyBorder="1" applyAlignment="1">
      <alignment horizontal="left"/>
      <protection/>
    </xf>
    <xf numFmtId="177" fontId="30" fillId="32" borderId="0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77" fontId="30" fillId="32" borderId="22" xfId="57" applyNumberFormat="1" applyFont="1" applyFill="1" applyBorder="1">
      <alignment/>
      <protection/>
    </xf>
    <xf numFmtId="0" fontId="153" fillId="32" borderId="18" xfId="57" applyFont="1" applyFill="1" applyBorder="1">
      <alignment/>
      <protection/>
    </xf>
    <xf numFmtId="176" fontId="30" fillId="32" borderId="22" xfId="57" applyNumberFormat="1" applyFont="1" applyFill="1" applyBorder="1" applyAlignment="1">
      <alignment horizontal="left"/>
      <protection/>
    </xf>
    <xf numFmtId="181" fontId="155" fillId="39" borderId="25" xfId="0" applyNumberFormat="1" applyFont="1" applyFill="1" applyBorder="1" applyAlignment="1" applyProtection="1" quotePrefix="1">
      <alignment horizontal="center"/>
      <protection/>
    </xf>
    <xf numFmtId="180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75" fontId="22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50" fillId="40" borderId="29" xfId="57" applyFont="1" applyFill="1" applyBorder="1">
      <alignment/>
      <protection/>
    </xf>
    <xf numFmtId="0" fontId="152" fillId="40" borderId="30" xfId="57" applyFont="1" applyFill="1" applyBorder="1">
      <alignment/>
      <protection/>
    </xf>
    <xf numFmtId="0" fontId="152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6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3" applyNumberFormat="1" applyFont="1" applyFill="1" applyAlignment="1" applyProtection="1">
      <alignment/>
      <protection/>
    </xf>
    <xf numFmtId="182" fontId="14" fillId="37" borderId="0" xfId="62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5" xfId="0" applyNumberFormat="1" applyFont="1" applyFill="1" applyBorder="1" applyAlignment="1" applyProtection="1" quotePrefix="1">
      <alignment horizontal="center"/>
      <protection/>
    </xf>
    <xf numFmtId="180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5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2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43" fillId="32" borderId="32" xfId="0" applyNumberFormat="1" applyFont="1" applyFill="1" applyBorder="1" applyAlignment="1" applyProtection="1">
      <alignment horizontal="center"/>
      <protection/>
    </xf>
    <xf numFmtId="174" fontId="12" fillId="32" borderId="32" xfId="0" applyNumberFormat="1" applyFont="1" applyFill="1" applyBorder="1" applyAlignment="1" applyProtection="1">
      <alignment horizontal="center"/>
      <protection/>
    </xf>
    <xf numFmtId="174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0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2" fillId="33" borderId="0" xfId="63" applyNumberFormat="1" applyFont="1" applyFill="1" applyBorder="1" applyAlignment="1" applyProtection="1">
      <alignment/>
      <protection/>
    </xf>
    <xf numFmtId="38" fontId="22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2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180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174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63" applyNumberFormat="1" applyFont="1" applyFill="1" applyBorder="1" applyAlignment="1" applyProtection="1">
      <alignment/>
      <protection/>
    </xf>
    <xf numFmtId="38" fontId="22" fillId="45" borderId="48" xfId="63" applyNumberFormat="1" applyFont="1" applyFill="1" applyBorder="1" applyAlignment="1" applyProtection="1">
      <alignment/>
      <protection/>
    </xf>
    <xf numFmtId="38" fontId="22" fillId="45" borderId="49" xfId="63" applyNumberFormat="1" applyFont="1" applyFill="1" applyBorder="1" applyAlignment="1" applyProtection="1">
      <alignment/>
      <protection/>
    </xf>
    <xf numFmtId="38" fontId="22" fillId="46" borderId="47" xfId="63" applyNumberFormat="1" applyFont="1" applyFill="1" applyBorder="1" applyAlignment="1" applyProtection="1">
      <alignment/>
      <protection/>
    </xf>
    <xf numFmtId="38" fontId="22" fillId="46" borderId="48" xfId="63" applyNumberFormat="1" applyFont="1" applyFill="1" applyBorder="1" applyAlignment="1" applyProtection="1">
      <alignment/>
      <protection/>
    </xf>
    <xf numFmtId="38" fontId="22" fillId="46" borderId="49" xfId="63" applyNumberFormat="1" applyFont="1" applyFill="1" applyBorder="1" applyAlignment="1" applyProtection="1">
      <alignment/>
      <protection/>
    </xf>
    <xf numFmtId="38" fontId="22" fillId="33" borderId="50" xfId="63" applyNumberFormat="1" applyFont="1" applyFill="1" applyBorder="1" applyAlignment="1" applyProtection="1">
      <alignment/>
      <protection/>
    </xf>
    <xf numFmtId="38" fontId="22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63" applyNumberFormat="1" applyFont="1" applyFill="1" applyBorder="1" applyAlignment="1" applyProtection="1">
      <alignment/>
      <protection/>
    </xf>
    <xf numFmtId="38" fontId="30" fillId="44" borderId="59" xfId="63" applyNumberFormat="1" applyFont="1" applyFill="1" applyBorder="1" applyAlignment="1" applyProtection="1">
      <alignment/>
      <protection/>
    </xf>
    <xf numFmtId="38" fontId="30" fillId="44" borderId="52" xfId="63" applyNumberFormat="1" applyFont="1" applyFill="1" applyBorder="1" applyAlignment="1" applyProtection="1">
      <alignment/>
      <protection/>
    </xf>
    <xf numFmtId="38" fontId="30" fillId="44" borderId="53" xfId="63" applyNumberFormat="1" applyFont="1" applyFill="1" applyBorder="1" applyAlignment="1" applyProtection="1">
      <alignment/>
      <protection/>
    </xf>
    <xf numFmtId="38" fontId="30" fillId="44" borderId="54" xfId="63" applyNumberFormat="1" applyFont="1" applyFill="1" applyBorder="1" applyAlignment="1" applyProtection="1">
      <alignment/>
      <protection/>
    </xf>
    <xf numFmtId="38" fontId="30" fillId="44" borderId="55" xfId="63" applyNumberFormat="1" applyFont="1" applyFill="1" applyBorder="1" applyAlignment="1" applyProtection="1">
      <alignment/>
      <protection/>
    </xf>
    <xf numFmtId="38" fontId="22" fillId="33" borderId="60" xfId="63" applyNumberFormat="1" applyFont="1" applyFill="1" applyBorder="1" applyAlignment="1" applyProtection="1">
      <alignment/>
      <protection/>
    </xf>
    <xf numFmtId="38" fontId="22" fillId="33" borderId="20" xfId="63" applyNumberFormat="1" applyFont="1" applyFill="1" applyBorder="1" applyAlignment="1" applyProtection="1">
      <alignment/>
      <protection/>
    </xf>
    <xf numFmtId="38" fontId="22" fillId="33" borderId="57" xfId="63" applyNumberFormat="1" applyFont="1" applyFill="1" applyBorder="1" applyAlignment="1" applyProtection="1">
      <alignment/>
      <protection/>
    </xf>
    <xf numFmtId="38" fontId="30" fillId="44" borderId="48" xfId="63" applyNumberFormat="1" applyFont="1" applyFill="1" applyBorder="1" applyAlignment="1" applyProtection="1">
      <alignment/>
      <protection/>
    </xf>
    <xf numFmtId="38" fontId="30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83" fontId="162" fillId="33" borderId="32" xfId="0" applyNumberFormat="1" applyFont="1" applyFill="1" applyBorder="1" applyAlignment="1" applyProtection="1">
      <alignment horizontal="center"/>
      <protection locked="0"/>
    </xf>
    <xf numFmtId="183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2" fillId="33" borderId="67" xfId="63" applyNumberFormat="1" applyFont="1" applyFill="1" applyBorder="1" applyAlignment="1" applyProtection="1">
      <alignment/>
      <protection/>
    </xf>
    <xf numFmtId="38" fontId="22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2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30" fillId="44" borderId="56" xfId="63" applyNumberFormat="1" applyFont="1" applyFill="1" applyBorder="1" applyAlignment="1" applyProtection="1">
      <alignment/>
      <protection/>
    </xf>
    <xf numFmtId="38" fontId="30" fillId="44" borderId="64" xfId="63" applyNumberFormat="1" applyFont="1" applyFill="1" applyBorder="1" applyAlignment="1" applyProtection="1">
      <alignment/>
      <protection/>
    </xf>
    <xf numFmtId="38" fontId="30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3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74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73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43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43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43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43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43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43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43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43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2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2" fillId="44" borderId="60" xfId="63" applyNumberFormat="1" applyFont="1" applyFill="1" applyBorder="1" applyAlignment="1" applyProtection="1">
      <alignment horizontal="center"/>
      <protection/>
    </xf>
    <xf numFmtId="38" fontId="22" fillId="44" borderId="20" xfId="63" applyNumberFormat="1" applyFont="1" applyFill="1" applyBorder="1" applyAlignment="1" applyProtection="1">
      <alignment horizontal="center"/>
      <protection/>
    </xf>
    <xf numFmtId="38" fontId="22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30" fillId="44" borderId="47" xfId="63" applyNumberFormat="1" applyFont="1" applyFill="1" applyBorder="1" applyAlignment="1" applyProtection="1">
      <alignment horizontal="center"/>
      <protection/>
    </xf>
    <xf numFmtId="38" fontId="30" fillId="44" borderId="48" xfId="63" applyNumberFormat="1" applyFont="1" applyFill="1" applyBorder="1" applyAlignment="1" applyProtection="1">
      <alignment horizontal="center"/>
      <protection/>
    </xf>
    <xf numFmtId="38" fontId="30" fillId="44" borderId="49" xfId="63" applyNumberFormat="1" applyFont="1" applyFill="1" applyBorder="1" applyAlignment="1" applyProtection="1">
      <alignment horizontal="center"/>
      <protection/>
    </xf>
    <xf numFmtId="38" fontId="22" fillId="33" borderId="60" xfId="63" applyNumberFormat="1" applyFont="1" applyFill="1" applyBorder="1" applyAlignment="1" applyProtection="1">
      <alignment horizontal="center"/>
      <protection/>
    </xf>
    <xf numFmtId="38" fontId="22" fillId="33" borderId="20" xfId="63" applyNumberFormat="1" applyFont="1" applyFill="1" applyBorder="1" applyAlignment="1" applyProtection="1">
      <alignment horizontal="center"/>
      <protection/>
    </xf>
    <xf numFmtId="38" fontId="22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74" fontId="5" fillId="39" borderId="71" xfId="59" applyNumberFormat="1" applyFont="1" applyFill="1" applyBorder="1" applyAlignment="1" applyProtection="1">
      <alignment horizontal="left"/>
      <protection/>
    </xf>
    <xf numFmtId="174" fontId="5" fillId="39" borderId="43" xfId="59" applyNumberFormat="1" applyFont="1" applyFill="1" applyBorder="1" applyAlignment="1" applyProtection="1">
      <alignment horizontal="left"/>
      <protection/>
    </xf>
    <xf numFmtId="174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2" fillId="33" borderId="67" xfId="63" applyNumberFormat="1" applyFont="1" applyFill="1" applyBorder="1" applyAlignment="1" applyProtection="1">
      <alignment horizontal="left"/>
      <protection/>
    </xf>
    <xf numFmtId="38" fontId="22" fillId="33" borderId="50" xfId="63" applyNumberFormat="1" applyFont="1" applyFill="1" applyBorder="1" applyAlignment="1" applyProtection="1">
      <alignment horizontal="left"/>
      <protection/>
    </xf>
    <xf numFmtId="38" fontId="22" fillId="33" borderId="51" xfId="63" applyNumberFormat="1" applyFont="1" applyFill="1" applyBorder="1" applyAlignment="1" applyProtection="1">
      <alignment horizontal="left"/>
      <protection/>
    </xf>
    <xf numFmtId="38" fontId="22" fillId="33" borderId="66" xfId="63" applyNumberFormat="1" applyFont="1" applyFill="1" applyBorder="1" applyAlignment="1" applyProtection="1">
      <alignment horizontal="left"/>
      <protection/>
    </xf>
    <xf numFmtId="38" fontId="22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5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4" fillId="32" borderId="0" xfId="0" applyNumberFormat="1" applyFont="1" applyFill="1" applyBorder="1" applyAlignment="1" applyProtection="1">
      <alignment horizontal="right"/>
      <protection/>
    </xf>
    <xf numFmtId="174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80" fontId="166" fillId="41" borderId="26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4" fillId="47" borderId="93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5" xfId="0" applyNumberFormat="1" applyFont="1" applyFill="1" applyBorder="1" applyAlignment="1" applyProtection="1" quotePrefix="1">
      <alignment horizontal="center"/>
      <protection/>
    </xf>
    <xf numFmtId="191" fontId="165" fillId="42" borderId="25" xfId="0" applyNumberFormat="1" applyFont="1" applyFill="1" applyBorder="1" applyAlignment="1" applyProtection="1" quotePrefix="1">
      <alignment horizontal="center"/>
      <protection/>
    </xf>
    <xf numFmtId="191" fontId="166" fillId="41" borderId="2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43" fillId="44" borderId="111" xfId="0" applyNumberFormat="1" applyFont="1" applyFill="1" applyBorder="1" applyAlignment="1" applyProtection="1">
      <alignment/>
      <protection/>
    </xf>
    <xf numFmtId="184" fontId="43" fillId="44" borderId="96" xfId="0" applyNumberFormat="1" applyFont="1" applyFill="1" applyBorder="1" applyAlignment="1" applyProtection="1">
      <alignment/>
      <protection/>
    </xf>
    <xf numFmtId="184" fontId="43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43" fillId="44" borderId="114" xfId="0" applyNumberFormat="1" applyFont="1" applyFill="1" applyBorder="1" applyAlignment="1" applyProtection="1">
      <alignment/>
      <protection/>
    </xf>
    <xf numFmtId="184" fontId="12" fillId="44" borderId="113" xfId="59" applyNumberFormat="1" applyFont="1" applyFill="1" applyBorder="1" applyAlignment="1" applyProtection="1">
      <alignment/>
      <protection/>
    </xf>
    <xf numFmtId="0" fontId="169" fillId="49" borderId="0" xfId="60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2" fillId="45" borderId="0" xfId="63" applyNumberFormat="1" applyFont="1" applyFill="1" applyBorder="1" applyAlignment="1" applyProtection="1">
      <alignment/>
      <protection/>
    </xf>
    <xf numFmtId="0" fontId="170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70" fillId="35" borderId="0" xfId="62" applyFont="1" applyFill="1" applyBorder="1" applyAlignment="1" applyProtection="1">
      <alignment/>
      <protection/>
    </xf>
    <xf numFmtId="0" fontId="169" fillId="33" borderId="0" xfId="60" applyFont="1" applyFill="1" applyBorder="1" applyAlignment="1" applyProtection="1">
      <alignment horizontal="center"/>
      <protection/>
    </xf>
    <xf numFmtId="172" fontId="66" fillId="50" borderId="32" xfId="62" applyNumberFormat="1" applyFont="1" applyFill="1" applyBorder="1" applyAlignment="1" applyProtection="1">
      <alignment horizontal="center" vertical="center"/>
      <protection locked="0"/>
    </xf>
    <xf numFmtId="174" fontId="150" fillId="32" borderId="0" xfId="63" applyNumberFormat="1" applyFont="1" applyFill="1" applyAlignment="1" applyProtection="1">
      <alignment/>
      <protection/>
    </xf>
    <xf numFmtId="0" fontId="153" fillId="35" borderId="0" xfId="62" applyFont="1" applyFill="1" applyBorder="1" applyProtection="1">
      <alignment/>
      <protection/>
    </xf>
    <xf numFmtId="0" fontId="171" fillId="35" borderId="0" xfId="62" applyFont="1" applyFill="1" applyBorder="1" applyProtection="1">
      <alignment/>
      <protection/>
    </xf>
    <xf numFmtId="0" fontId="171" fillId="35" borderId="0" xfId="62" applyFont="1" applyFill="1" applyProtection="1">
      <alignment/>
      <protection/>
    </xf>
    <xf numFmtId="180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20" fillId="36" borderId="0" xfId="62" applyFont="1" applyFill="1" applyProtection="1">
      <alignment/>
      <protection/>
    </xf>
    <xf numFmtId="172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20" fillId="36" borderId="0" xfId="62" applyFont="1" applyFill="1" applyBorder="1" applyProtection="1">
      <alignment/>
      <protection/>
    </xf>
    <xf numFmtId="174" fontId="8" fillId="33" borderId="0" xfId="63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32" borderId="50" xfId="0" applyFont="1" applyFill="1" applyBorder="1" applyAlignment="1" applyProtection="1">
      <alignment horizontal="center"/>
      <protection locked="0"/>
    </xf>
    <xf numFmtId="172" fontId="174" fillId="33" borderId="32" xfId="62" applyNumberFormat="1" applyFont="1" applyFill="1" applyBorder="1" applyAlignment="1" applyProtection="1">
      <alignment horizontal="center" vertical="center"/>
      <protection/>
    </xf>
    <xf numFmtId="172" fontId="175" fillId="33" borderId="32" xfId="62" applyNumberFormat="1" applyFont="1" applyFill="1" applyBorder="1" applyAlignment="1" applyProtection="1">
      <alignment horizontal="center" vertical="center"/>
      <protection/>
    </xf>
    <xf numFmtId="0" fontId="16" fillId="33" borderId="32" xfId="62" applyNumberFormat="1" applyFont="1" applyFill="1" applyBorder="1" applyAlignment="1" applyProtection="1">
      <alignment horizontal="center" vertical="center"/>
      <protection/>
    </xf>
    <xf numFmtId="0" fontId="16" fillId="38" borderId="32" xfId="62" applyNumberFormat="1" applyFont="1" applyFill="1" applyBorder="1" applyAlignment="1" applyProtection="1">
      <alignment horizontal="center" vertical="center"/>
      <protection locked="0"/>
    </xf>
    <xf numFmtId="38" fontId="19" fillId="33" borderId="65" xfId="63" applyNumberFormat="1" applyFont="1" applyFill="1" applyBorder="1" applyAlignment="1" applyProtection="1">
      <alignment/>
      <protection/>
    </xf>
    <xf numFmtId="38" fontId="19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76" fontId="176" fillId="33" borderId="0" xfId="57" applyNumberFormat="1" applyFont="1" applyFill="1" applyBorder="1" applyAlignment="1">
      <alignment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179" fontId="176" fillId="32" borderId="0" xfId="57" applyNumberFormat="1" applyFont="1" applyFill="1" applyBorder="1" applyAlignment="1">
      <alignment horizontal="center"/>
      <protection/>
    </xf>
    <xf numFmtId="0" fontId="23" fillId="33" borderId="0" xfId="57" applyFont="1" applyFill="1">
      <alignment/>
      <protection/>
    </xf>
    <xf numFmtId="179" fontId="176" fillId="33" borderId="0" xfId="57" applyNumberFormat="1" applyFont="1" applyFill="1" applyBorder="1" applyAlignment="1">
      <alignment/>
      <protection/>
    </xf>
    <xf numFmtId="179" fontId="177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9" fontId="153" fillId="33" borderId="0" xfId="57" applyNumberFormat="1" applyFont="1" applyFill="1" applyBorder="1" applyAlignment="1">
      <alignment/>
      <protection/>
    </xf>
    <xf numFmtId="179" fontId="72" fillId="51" borderId="0" xfId="57" applyNumberFormat="1" applyFont="1" applyFill="1" applyBorder="1" applyAlignment="1">
      <alignment horizontal="center"/>
      <protection/>
    </xf>
    <xf numFmtId="0" fontId="17" fillId="33" borderId="0" xfId="57" applyFont="1" applyFill="1" applyBorder="1">
      <alignment/>
      <protection/>
    </xf>
    <xf numFmtId="176" fontId="72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84" fontId="6" fillId="33" borderId="66" xfId="0" applyNumberFormat="1" applyFont="1" applyFill="1" applyBorder="1" applyAlignment="1" applyProtection="1">
      <alignment horizontal="right"/>
      <protection/>
    </xf>
    <xf numFmtId="184" fontId="6" fillId="32" borderId="66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9" fillId="33" borderId="74" xfId="0" applyNumberFormat="1" applyFont="1" applyFill="1" applyBorder="1" applyAlignment="1" applyProtection="1" quotePrefix="1">
      <alignment/>
      <protection/>
    </xf>
    <xf numFmtId="174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9" xfId="0" applyNumberFormat="1" applyFont="1" applyFill="1" applyBorder="1" applyAlignment="1" applyProtection="1" quotePrefix="1">
      <alignment/>
      <protection/>
    </xf>
    <xf numFmtId="174" fontId="178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8" fillId="32" borderId="119" xfId="0" applyNumberFormat="1" applyFont="1" applyFill="1" applyBorder="1" applyAlignment="1" applyProtection="1" quotePrefix="1">
      <alignment/>
      <protection/>
    </xf>
    <xf numFmtId="174" fontId="179" fillId="32" borderId="37" xfId="0" applyNumberFormat="1" applyFont="1" applyFill="1" applyBorder="1" applyAlignment="1" applyProtection="1" quotePrefix="1">
      <alignment/>
      <protection/>
    </xf>
    <xf numFmtId="174" fontId="178" fillId="33" borderId="90" xfId="0" applyNumberFormat="1" applyFont="1" applyFill="1" applyBorder="1" applyAlignment="1" applyProtection="1" quotePrefix="1">
      <alignment/>
      <protection/>
    </xf>
    <xf numFmtId="174" fontId="179" fillId="33" borderId="91" xfId="0" applyNumberFormat="1" applyFont="1" applyFill="1" applyBorder="1" applyAlignment="1" applyProtection="1" quotePrefix="1">
      <alignment/>
      <protection/>
    </xf>
    <xf numFmtId="174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82" fontId="48" fillId="52" borderId="121" xfId="0" applyNumberFormat="1" applyFont="1" applyFill="1" applyBorder="1" applyAlignment="1" applyProtection="1">
      <alignment horizontal="center"/>
      <protection/>
    </xf>
    <xf numFmtId="182" fontId="50" fillId="43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81" fillId="43" borderId="121" xfId="0" applyNumberFormat="1" applyFont="1" applyFill="1" applyBorder="1" applyAlignment="1" applyProtection="1">
      <alignment horizontal="center"/>
      <protection/>
    </xf>
    <xf numFmtId="182" fontId="48" fillId="53" borderId="121" xfId="0" applyNumberFormat="1" applyFont="1" applyFill="1" applyBorder="1" applyAlignment="1" applyProtection="1">
      <alignment horizontal="center"/>
      <protection/>
    </xf>
    <xf numFmtId="182" fontId="50" fillId="53" borderId="121" xfId="0" applyNumberFormat="1" applyFont="1" applyFill="1" applyBorder="1" applyAlignment="1" applyProtection="1">
      <alignment horizontal="center"/>
      <protection/>
    </xf>
    <xf numFmtId="182" fontId="182" fillId="53" borderId="121" xfId="0" applyNumberFormat="1" applyFont="1" applyFill="1" applyBorder="1" applyAlignment="1" applyProtection="1">
      <alignment horizontal="center"/>
      <protection/>
    </xf>
    <xf numFmtId="182" fontId="181" fillId="53" borderId="121" xfId="0" applyNumberFormat="1" applyFont="1" applyFill="1" applyBorder="1" applyAlignment="1" applyProtection="1">
      <alignment horizontal="center"/>
      <protection/>
    </xf>
    <xf numFmtId="182" fontId="48" fillId="40" borderId="121" xfId="0" applyNumberFormat="1" applyFont="1" applyFill="1" applyBorder="1" applyAlignment="1" applyProtection="1">
      <alignment horizontal="center"/>
      <protection/>
    </xf>
    <xf numFmtId="182" fontId="49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184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43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43" fillId="43" borderId="110" xfId="0" applyNumberFormat="1" applyFont="1" applyFill="1" applyBorder="1" applyAlignment="1" applyProtection="1">
      <alignment horizontal="center"/>
      <protection locked="0"/>
    </xf>
    <xf numFmtId="176" fontId="176" fillId="32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quotePrefix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21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7" fontId="176" fillId="38" borderId="0" xfId="57" applyNumberFormat="1" applyFont="1" applyFill="1" applyBorder="1">
      <alignment/>
      <protection/>
    </xf>
    <xf numFmtId="179" fontId="176" fillId="32" borderId="0" xfId="57" applyNumberFormat="1" applyFont="1" applyFill="1" applyBorder="1" applyAlignment="1">
      <alignment horizontal="center"/>
      <protection/>
    </xf>
    <xf numFmtId="179" fontId="177" fillId="33" borderId="0" xfId="57" applyNumberFormat="1" applyFont="1" applyFill="1" applyBorder="1" applyAlignment="1">
      <alignment horizontal="center"/>
      <protection/>
    </xf>
    <xf numFmtId="177" fontId="177" fillId="51" borderId="0" xfId="57" applyNumberFormat="1" applyFont="1" applyFill="1" applyBorder="1" applyAlignment="1">
      <alignment horizontal="center"/>
      <protection/>
    </xf>
    <xf numFmtId="177" fontId="176" fillId="33" borderId="0" xfId="57" applyNumberFormat="1" applyFont="1" applyFill="1" applyBorder="1" applyAlignment="1">
      <alignment horizontal="center"/>
      <protection/>
    </xf>
    <xf numFmtId="176" fontId="176" fillId="32" borderId="0" xfId="57" applyNumberFormat="1" applyFont="1" applyFill="1" applyBorder="1" applyAlignment="1">
      <alignment horizontal="center"/>
      <protection/>
    </xf>
    <xf numFmtId="178" fontId="176" fillId="32" borderId="20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176" fillId="38" borderId="0" xfId="57" applyNumberFormat="1" applyFont="1" applyFill="1" applyBorder="1" applyAlignment="1">
      <alignment horizontal="center"/>
      <protection/>
    </xf>
    <xf numFmtId="186" fontId="185" fillId="46" borderId="33" xfId="57" applyNumberFormat="1" applyFont="1" applyFill="1" applyBorder="1" applyAlignment="1" applyProtection="1">
      <alignment horizontal="center" vertical="center"/>
      <protection locked="0"/>
    </xf>
    <xf numFmtId="186" fontId="185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2" fillId="46" borderId="47" xfId="63" applyNumberFormat="1" applyFont="1" applyFill="1" applyBorder="1" applyAlignment="1" applyProtection="1">
      <alignment horizontal="center"/>
      <protection/>
    </xf>
    <xf numFmtId="38" fontId="22" fillId="46" borderId="48" xfId="63" applyNumberFormat="1" applyFont="1" applyFill="1" applyBorder="1" applyAlignment="1" applyProtection="1">
      <alignment horizontal="center"/>
      <protection/>
    </xf>
    <xf numFmtId="38" fontId="22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16" fillId="33" borderId="65" xfId="63" applyNumberFormat="1" applyFont="1" applyFill="1" applyBorder="1" applyAlignment="1" applyProtection="1">
      <alignment horizontal="center"/>
      <protection/>
    </xf>
    <xf numFmtId="38" fontId="16" fillId="33" borderId="54" xfId="63" applyNumberFormat="1" applyFont="1" applyFill="1" applyBorder="1" applyAlignment="1" applyProtection="1">
      <alignment horizontal="center"/>
      <protection/>
    </xf>
    <xf numFmtId="38" fontId="16" fillId="33" borderId="55" xfId="63" applyNumberFormat="1" applyFont="1" applyFill="1" applyBorder="1" applyAlignment="1" applyProtection="1">
      <alignment horizontal="center"/>
      <protection/>
    </xf>
    <xf numFmtId="38" fontId="57" fillId="33" borderId="67" xfId="63" applyNumberFormat="1" applyFont="1" applyFill="1" applyBorder="1" applyAlignment="1" applyProtection="1">
      <alignment horizontal="center"/>
      <protection/>
    </xf>
    <xf numFmtId="38" fontId="57" fillId="33" borderId="50" xfId="63" applyNumberFormat="1" applyFont="1" applyFill="1" applyBorder="1" applyAlignment="1" applyProtection="1">
      <alignment horizontal="center"/>
      <protection/>
    </xf>
    <xf numFmtId="38" fontId="57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3" fillId="47" borderId="65" xfId="63" applyNumberFormat="1" applyFont="1" applyFill="1" applyBorder="1" applyAlignment="1" applyProtection="1">
      <alignment horizontal="center"/>
      <protection/>
    </xf>
    <xf numFmtId="38" fontId="163" fillId="47" borderId="54" xfId="63" applyNumberFormat="1" applyFont="1" applyFill="1" applyBorder="1" applyAlignment="1" applyProtection="1">
      <alignment horizontal="center"/>
      <protection/>
    </xf>
    <xf numFmtId="38" fontId="163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30" fillId="44" borderId="56" xfId="63" applyNumberFormat="1" applyFont="1" applyFill="1" applyBorder="1" applyAlignment="1" applyProtection="1">
      <alignment horizontal="center"/>
      <protection/>
    </xf>
    <xf numFmtId="38" fontId="30" fillId="44" borderId="58" xfId="63" applyNumberFormat="1" applyFont="1" applyFill="1" applyBorder="1" applyAlignment="1" applyProtection="1">
      <alignment horizontal="center"/>
      <protection/>
    </xf>
    <xf numFmtId="38" fontId="30" fillId="44" borderId="59" xfId="63" applyNumberFormat="1" applyFont="1" applyFill="1" applyBorder="1" applyAlignment="1" applyProtection="1">
      <alignment horizontal="center"/>
      <protection/>
    </xf>
    <xf numFmtId="38" fontId="30" fillId="44" borderId="64" xfId="63" applyNumberFormat="1" applyFont="1" applyFill="1" applyBorder="1" applyAlignment="1" applyProtection="1">
      <alignment horizontal="center"/>
      <protection/>
    </xf>
    <xf numFmtId="38" fontId="30" fillId="44" borderId="52" xfId="63" applyNumberFormat="1" applyFont="1" applyFill="1" applyBorder="1" applyAlignment="1" applyProtection="1">
      <alignment horizontal="center"/>
      <protection/>
    </xf>
    <xf numFmtId="38" fontId="30" fillId="44" borderId="53" xfId="63" applyNumberFormat="1" applyFont="1" applyFill="1" applyBorder="1" applyAlignment="1" applyProtection="1">
      <alignment horizontal="center"/>
      <protection/>
    </xf>
    <xf numFmtId="38" fontId="30" fillId="44" borderId="65" xfId="63" applyNumberFormat="1" applyFont="1" applyFill="1" applyBorder="1" applyAlignment="1" applyProtection="1">
      <alignment horizontal="center"/>
      <protection/>
    </xf>
    <xf numFmtId="38" fontId="30" fillId="44" borderId="54" xfId="63" applyNumberFormat="1" applyFont="1" applyFill="1" applyBorder="1" applyAlignment="1" applyProtection="1">
      <alignment horizontal="center"/>
      <protection/>
    </xf>
    <xf numFmtId="38" fontId="30" fillId="44" borderId="55" xfId="63" applyNumberFormat="1" applyFont="1" applyFill="1" applyBorder="1" applyAlignment="1" applyProtection="1">
      <alignment horizontal="center"/>
      <protection/>
    </xf>
    <xf numFmtId="0" fontId="186" fillId="32" borderId="0" xfId="59" applyFont="1" applyFill="1" applyBorder="1" applyAlignment="1" applyProtection="1">
      <alignment horizontal="center"/>
      <protection/>
    </xf>
    <xf numFmtId="185" fontId="160" fillId="33" borderId="33" xfId="59" applyNumberFormat="1" applyFont="1" applyFill="1" applyBorder="1" applyAlignment="1" applyProtection="1">
      <alignment horizontal="center"/>
      <protection/>
    </xf>
    <xf numFmtId="185" fontId="160" fillId="33" borderId="48" xfId="59" applyNumberFormat="1" applyFont="1" applyFill="1" applyBorder="1" applyAlignment="1" applyProtection="1">
      <alignment horizontal="center"/>
      <protection/>
    </xf>
    <xf numFmtId="185" fontId="160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8" fillId="50" borderId="17" xfId="62" applyFont="1" applyFill="1" applyBorder="1" applyAlignment="1" applyProtection="1">
      <alignment horizontal="center" vertical="top"/>
      <protection/>
    </xf>
    <xf numFmtId="0" fontId="18" fillId="50" borderId="0" xfId="62" applyFont="1" applyFill="1" applyBorder="1" applyAlignment="1" applyProtection="1">
      <alignment horizontal="center" vertical="top"/>
      <protection/>
    </xf>
    <xf numFmtId="0" fontId="18" fillId="50" borderId="18" xfId="62" applyFont="1" applyFill="1" applyBorder="1" applyAlignment="1" applyProtection="1">
      <alignment horizontal="center" vertical="top"/>
      <protection/>
    </xf>
    <xf numFmtId="185" fontId="187" fillId="32" borderId="0" xfId="59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3" xfId="61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2" fillId="36" borderId="33" xfId="53" applyFill="1" applyBorder="1" applyAlignment="1" applyProtection="1">
      <alignment horizontal="center" vertical="center"/>
      <protection locked="0"/>
    </xf>
    <xf numFmtId="0" fontId="188" fillId="36" borderId="48" xfId="53" applyFont="1" applyFill="1" applyBorder="1" applyAlignment="1" applyProtection="1">
      <alignment horizontal="center" vertical="center"/>
      <protection locked="0"/>
    </xf>
    <xf numFmtId="0" fontId="188" fillId="36" borderId="34" xfId="53" applyFont="1" applyFill="1" applyBorder="1" applyAlignment="1" applyProtection="1">
      <alignment horizontal="center" vertical="center"/>
      <protection locked="0"/>
    </xf>
    <xf numFmtId="38" fontId="142" fillId="33" borderId="33" xfId="53" applyNumberFormat="1" applyFill="1" applyBorder="1" applyAlignment="1" applyProtection="1">
      <alignment horizontal="center" vertical="center"/>
      <protection locked="0"/>
    </xf>
    <xf numFmtId="38" fontId="189" fillId="33" borderId="48" xfId="53" applyNumberFormat="1" applyFont="1" applyFill="1" applyBorder="1" applyAlignment="1" applyProtection="1">
      <alignment horizontal="center" vertical="center"/>
      <protection locked="0"/>
    </xf>
    <xf numFmtId="38" fontId="189" fillId="33" borderId="34" xfId="53" applyNumberFormat="1" applyFont="1" applyFill="1" applyBorder="1" applyAlignment="1" applyProtection="1">
      <alignment horizontal="center" vertical="center"/>
      <protection locked="0"/>
    </xf>
    <xf numFmtId="0" fontId="28" fillId="50" borderId="124" xfId="62" applyFont="1" applyFill="1" applyBorder="1" applyAlignment="1" applyProtection="1" quotePrefix="1">
      <alignment horizontal="center" wrapText="1"/>
      <protection locked="0"/>
    </xf>
    <xf numFmtId="0" fontId="28" fillId="50" borderId="58" xfId="62" applyFont="1" applyFill="1" applyBorder="1" applyAlignment="1" applyProtection="1">
      <alignment horizontal="center" wrapText="1"/>
      <protection locked="0"/>
    </xf>
    <xf numFmtId="0" fontId="28" fillId="50" borderId="125" xfId="62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90" fillId="32" borderId="50" xfId="57" applyFont="1" applyFill="1" applyBorder="1" applyAlignment="1" applyProtection="1" quotePrefix="1">
      <alignment horizontal="center"/>
      <protection/>
    </xf>
    <xf numFmtId="0" fontId="191" fillId="38" borderId="21" xfId="62" applyFont="1" applyFill="1" applyBorder="1" applyAlignment="1" applyProtection="1">
      <alignment horizontal="center" vertical="center" wrapText="1"/>
      <protection locked="0"/>
    </xf>
    <xf numFmtId="0" fontId="191" fillId="38" borderId="22" xfId="62" applyFont="1" applyFill="1" applyBorder="1" applyAlignment="1" applyProtection="1">
      <alignment horizontal="center" vertical="center" wrapText="1"/>
      <protection locked="0"/>
    </xf>
    <xf numFmtId="0" fontId="191" fillId="38" borderId="23" xfId="62" applyFont="1" applyFill="1" applyBorder="1" applyAlignment="1" applyProtection="1">
      <alignment horizontal="center" vertical="center" wrapText="1"/>
      <protection locked="0"/>
    </xf>
    <xf numFmtId="0" fontId="192" fillId="33" borderId="66" xfId="60" applyFont="1" applyFill="1" applyBorder="1" applyAlignment="1" applyProtection="1">
      <alignment horizontal="center"/>
      <protection/>
    </xf>
    <xf numFmtId="0" fontId="192" fillId="33" borderId="0" xfId="60" applyFont="1" applyFill="1" applyBorder="1" applyAlignment="1" applyProtection="1">
      <alignment horizontal="center"/>
      <protection/>
    </xf>
    <xf numFmtId="0" fontId="192" fillId="33" borderId="35" xfId="60" applyFont="1" applyFill="1" applyBorder="1" applyAlignment="1" applyProtection="1">
      <alignment horizontal="center"/>
      <protection/>
    </xf>
    <xf numFmtId="0" fontId="169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7" fillId="33" borderId="0" xfId="59" applyNumberFormat="1" applyFont="1" applyFill="1" applyBorder="1" applyAlignment="1" applyProtection="1">
      <alignment horizontal="center"/>
      <protection/>
    </xf>
    <xf numFmtId="0" fontId="190" fillId="33" borderId="50" xfId="57" applyFont="1" applyFill="1" applyBorder="1" applyAlignment="1" applyProtection="1" quotePrefix="1">
      <alignment horizontal="center"/>
      <protection/>
    </xf>
    <xf numFmtId="185" fontId="4" fillId="32" borderId="33" xfId="59" applyNumberFormat="1" applyFont="1" applyFill="1" applyBorder="1" applyAlignment="1" applyProtection="1">
      <alignment horizontal="center"/>
      <protection/>
    </xf>
    <xf numFmtId="185" fontId="4" fillId="32" borderId="48" xfId="59" applyNumberFormat="1" applyFont="1" applyFill="1" applyBorder="1" applyAlignment="1" applyProtection="1">
      <alignment horizontal="center"/>
      <protection/>
    </xf>
    <xf numFmtId="185" fontId="4" fillId="32" borderId="34" xfId="59" applyNumberFormat="1" applyFont="1" applyFill="1" applyBorder="1" applyAlignment="1" applyProtection="1">
      <alignment horizontal="center"/>
      <protection/>
    </xf>
    <xf numFmtId="0" fontId="192" fillId="33" borderId="119" xfId="60" applyFont="1" applyFill="1" applyBorder="1" applyAlignment="1" applyProtection="1">
      <alignment horizontal="center"/>
      <protection/>
    </xf>
    <xf numFmtId="0" fontId="192" fillId="33" borderId="126" xfId="60" applyFont="1" applyFill="1" applyBorder="1" applyAlignment="1" applyProtection="1">
      <alignment horizontal="center"/>
      <protection/>
    </xf>
    <xf numFmtId="0" fontId="22" fillId="36" borderId="124" xfId="62" applyFont="1" applyFill="1" applyBorder="1" applyAlignment="1" applyProtection="1" quotePrefix="1">
      <alignment horizontal="center" wrapText="1"/>
      <protection/>
    </xf>
    <xf numFmtId="0" fontId="22" fillId="36" borderId="58" xfId="62" applyFont="1" applyFill="1" applyBorder="1" applyAlignment="1" applyProtection="1">
      <alignment horizontal="center" wrapText="1"/>
      <protection/>
    </xf>
    <xf numFmtId="0" fontId="22" fillId="36" borderId="125" xfId="62" applyFont="1" applyFill="1" applyBorder="1" applyAlignment="1" applyProtection="1">
      <alignment horizontal="center" wrapText="1"/>
      <protection/>
    </xf>
    <xf numFmtId="187" fontId="8" fillId="33" borderId="33" xfId="61" applyNumberFormat="1" applyFont="1" applyFill="1" applyBorder="1" applyAlignment="1" applyProtection="1" quotePrefix="1">
      <alignment horizontal="center" vertical="center"/>
      <protection/>
    </xf>
    <xf numFmtId="187" fontId="8" fillId="33" borderId="34" xfId="61" applyNumberFormat="1" applyFont="1" applyFill="1" applyBorder="1" applyAlignment="1" applyProtection="1" quotePrefix="1">
      <alignment horizontal="center" vertical="center"/>
      <protection/>
    </xf>
    <xf numFmtId="186" fontId="185" fillId="46" borderId="33" xfId="57" applyNumberFormat="1" applyFont="1" applyFill="1" applyBorder="1" applyAlignment="1" applyProtection="1">
      <alignment horizontal="center" vertical="center"/>
      <protection/>
    </xf>
    <xf numFmtId="186" fontId="185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7" fillId="33" borderId="21" xfId="62" applyFont="1" applyFill="1" applyBorder="1" applyAlignment="1" applyProtection="1">
      <alignment horizontal="center" vertical="center" wrapText="1"/>
      <protection/>
    </xf>
    <xf numFmtId="0" fontId="67" fillId="33" borderId="22" xfId="62" applyFont="1" applyFill="1" applyBorder="1" applyAlignment="1" applyProtection="1">
      <alignment horizontal="center" vertical="center" wrapText="1"/>
      <protection/>
    </xf>
    <xf numFmtId="0" fontId="67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3" fillId="36" borderId="33" xfId="53" applyFont="1" applyFill="1" applyBorder="1" applyAlignment="1" applyProtection="1">
      <alignment horizontal="center" vertical="center"/>
      <protection/>
    </xf>
    <xf numFmtId="0" fontId="193" fillId="36" borderId="48" xfId="53" applyFont="1" applyFill="1" applyBorder="1" applyAlignment="1" applyProtection="1">
      <alignment horizontal="center" vertical="center"/>
      <protection/>
    </xf>
    <xf numFmtId="0" fontId="193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4">
      <selection activeCell="D33" sqref="D33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6" sqref="M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351</v>
      </c>
      <c r="C1" s="642"/>
      <c r="D1" s="642"/>
      <c r="E1" s="642"/>
      <c r="F1" s="643"/>
      <c r="G1" s="467" t="s">
        <v>274</v>
      </c>
      <c r="H1" s="460"/>
      <c r="I1" s="633">
        <v>695025</v>
      </c>
      <c r="J1" s="634"/>
      <c r="K1" s="461"/>
      <c r="L1" s="469" t="s">
        <v>275</v>
      </c>
      <c r="M1" s="465">
        <v>300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 t="s">
        <v>350</v>
      </c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МИНИСТЕРСКИ СЪВЕТ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253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31.03.2017 г.</v>
      </c>
      <c r="G11" s="430">
        <f>+P5-1</f>
        <v>2016</v>
      </c>
      <c r="H11" s="15"/>
      <c r="I11" s="130" t="str">
        <f>+O8</f>
        <v>31.03.2017 г.</v>
      </c>
      <c r="J11" s="431">
        <f>+P5-1</f>
        <v>2016</v>
      </c>
      <c r="K11" s="16"/>
      <c r="L11" s="128" t="str">
        <f>+O8</f>
        <v>31.03.2017 г.</v>
      </c>
      <c r="M11" s="432">
        <f>+P5-1</f>
        <v>2016</v>
      </c>
      <c r="N11" s="16"/>
      <c r="O11" s="386" t="str">
        <f>+O8</f>
        <v>31.03.2017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104308</v>
      </c>
      <c r="G16" s="260">
        <v>689558</v>
      </c>
      <c r="H16" s="15"/>
      <c r="I16" s="261"/>
      <c r="J16" s="260"/>
      <c r="K16" s="256"/>
      <c r="L16" s="261"/>
      <c r="M16" s="260"/>
      <c r="N16" s="256"/>
      <c r="O16" s="393">
        <f t="shared" si="0"/>
        <v>104308</v>
      </c>
      <c r="P16" s="446">
        <f t="shared" si="0"/>
        <v>689558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35054</v>
      </c>
      <c r="G17" s="260">
        <v>213113</v>
      </c>
      <c r="H17" s="15"/>
      <c r="I17" s="261"/>
      <c r="J17" s="260"/>
      <c r="K17" s="256"/>
      <c r="L17" s="261"/>
      <c r="M17" s="260"/>
      <c r="N17" s="256"/>
      <c r="O17" s="393">
        <f t="shared" si="0"/>
        <v>35054</v>
      </c>
      <c r="P17" s="446">
        <f t="shared" si="0"/>
        <v>213113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1208888</v>
      </c>
      <c r="G18" s="260">
        <v>6096858</v>
      </c>
      <c r="H18" s="15"/>
      <c r="I18" s="261"/>
      <c r="J18" s="260"/>
      <c r="K18" s="256"/>
      <c r="L18" s="261"/>
      <c r="M18" s="260"/>
      <c r="N18" s="256"/>
      <c r="O18" s="393">
        <f t="shared" si="0"/>
        <v>1208888</v>
      </c>
      <c r="P18" s="446">
        <f t="shared" si="0"/>
        <v>6096858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927368</v>
      </c>
      <c r="G19" s="260">
        <v>3231533</v>
      </c>
      <c r="H19" s="15"/>
      <c r="I19" s="261"/>
      <c r="J19" s="260"/>
      <c r="K19" s="256"/>
      <c r="L19" s="261"/>
      <c r="M19" s="260"/>
      <c r="N19" s="256"/>
      <c r="O19" s="393">
        <f t="shared" si="0"/>
        <v>927368</v>
      </c>
      <c r="P19" s="446">
        <f t="shared" si="0"/>
        <v>3231533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/>
      <c r="G20" s="260">
        <v>957081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957081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81</v>
      </c>
      <c r="G21" s="260">
        <v>6430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81</v>
      </c>
      <c r="P21" s="446">
        <f t="shared" si="0"/>
        <v>6430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53453</v>
      </c>
      <c r="G23" s="262">
        <v>406518</v>
      </c>
      <c r="H23" s="15"/>
      <c r="I23" s="263"/>
      <c r="J23" s="262"/>
      <c r="K23" s="256"/>
      <c r="L23" s="263"/>
      <c r="M23" s="262"/>
      <c r="N23" s="256"/>
      <c r="O23" s="394">
        <f t="shared" si="0"/>
        <v>53453</v>
      </c>
      <c r="P23" s="417">
        <f t="shared" si="0"/>
        <v>406518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2329152</v>
      </c>
      <c r="G24" s="264">
        <f>+ROUND(+SUM(G15:G23),0)</f>
        <v>11601091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2329152</v>
      </c>
      <c r="P24" s="396">
        <f>+ROUND(+SUM(P15:P23),0)</f>
        <v>11601091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839134</v>
      </c>
      <c r="G26" s="258">
        <v>4872055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839134</v>
      </c>
      <c r="P26" s="411">
        <f t="shared" si="1"/>
        <v>4872055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284884</v>
      </c>
      <c r="G27" s="260">
        <v>782089</v>
      </c>
      <c r="H27" s="15"/>
      <c r="I27" s="261"/>
      <c r="J27" s="260"/>
      <c r="K27" s="256"/>
      <c r="L27" s="261"/>
      <c r="M27" s="260"/>
      <c r="N27" s="256"/>
      <c r="O27" s="393">
        <f t="shared" si="1"/>
        <v>284884</v>
      </c>
      <c r="P27" s="446">
        <f t="shared" si="1"/>
        <v>782089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1124018</v>
      </c>
      <c r="G29" s="264">
        <f>+ROUND(+SUM(G26:G28),0)</f>
        <v>5654144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1124018</v>
      </c>
      <c r="P29" s="396">
        <f>+ROUND(+SUM(P26:P28),0)</f>
        <v>5654144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f>+F37+F38+F39</f>
        <v>-1757989</v>
      </c>
      <c r="G36" s="277">
        <v>-3252026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-1757989</v>
      </c>
      <c r="P36" s="396">
        <f t="shared" si="2"/>
        <v>-3252026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-1309937</v>
      </c>
      <c r="G37" s="278">
        <v>-2794447</v>
      </c>
      <c r="H37" s="15"/>
      <c r="I37" s="279"/>
      <c r="J37" s="278"/>
      <c r="K37" s="256"/>
      <c r="L37" s="279"/>
      <c r="M37" s="278"/>
      <c r="N37" s="256"/>
      <c r="O37" s="408">
        <f t="shared" si="2"/>
        <v>-1309937</v>
      </c>
      <c r="P37" s="447">
        <f t="shared" si="2"/>
        <v>-2794447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-445735</v>
      </c>
      <c r="G38" s="280">
        <v>-435584</v>
      </c>
      <c r="H38" s="15"/>
      <c r="I38" s="281"/>
      <c r="J38" s="280"/>
      <c r="K38" s="256"/>
      <c r="L38" s="281"/>
      <c r="M38" s="280"/>
      <c r="N38" s="256"/>
      <c r="O38" s="409">
        <f t="shared" si="2"/>
        <v>-445735</v>
      </c>
      <c r="P38" s="448">
        <f t="shared" si="2"/>
        <v>-435584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>
        <v>-2317</v>
      </c>
      <c r="G39" s="282">
        <v>-19118</v>
      </c>
      <c r="H39" s="15"/>
      <c r="I39" s="283"/>
      <c r="J39" s="282"/>
      <c r="K39" s="256"/>
      <c r="L39" s="283"/>
      <c r="M39" s="282"/>
      <c r="N39" s="256"/>
      <c r="O39" s="410">
        <f t="shared" si="2"/>
        <v>-2317</v>
      </c>
      <c r="P39" s="449">
        <f t="shared" si="2"/>
        <v>-19118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12137</v>
      </c>
      <c r="G41" s="276">
        <v>94336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12137</v>
      </c>
      <c r="P41" s="396">
        <f>+ROUND(+G41+J41+M41,0)</f>
        <v>94336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>
        <v>149406</v>
      </c>
      <c r="J43" s="258">
        <v>834433</v>
      </c>
      <c r="K43" s="256"/>
      <c r="L43" s="259"/>
      <c r="M43" s="258"/>
      <c r="N43" s="256"/>
      <c r="O43" s="398">
        <f aca="true" t="shared" si="3" ref="O43:P46">+ROUND(+F43+I43+L43,0)</f>
        <v>149406</v>
      </c>
      <c r="P43" s="411">
        <f t="shared" si="3"/>
        <v>834433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>
        <v>390804</v>
      </c>
      <c r="H44" s="15"/>
      <c r="I44" s="261">
        <f>61145+26794</f>
        <v>87939</v>
      </c>
      <c r="J44" s="260">
        <v>52942</v>
      </c>
      <c r="K44" s="256"/>
      <c r="L44" s="261"/>
      <c r="M44" s="260"/>
      <c r="N44" s="256"/>
      <c r="O44" s="393">
        <f t="shared" si="3"/>
        <v>87939</v>
      </c>
      <c r="P44" s="446">
        <f t="shared" si="3"/>
        <v>443746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4500</v>
      </c>
      <c r="G46" s="262">
        <v>37960</v>
      </c>
      <c r="H46" s="15"/>
      <c r="I46" s="263"/>
      <c r="J46" s="262"/>
      <c r="K46" s="256"/>
      <c r="L46" s="263"/>
      <c r="M46" s="262"/>
      <c r="N46" s="256"/>
      <c r="O46" s="394">
        <f t="shared" si="3"/>
        <v>4500</v>
      </c>
      <c r="P46" s="417">
        <f t="shared" si="3"/>
        <v>37960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4500</v>
      </c>
      <c r="G47" s="264">
        <f>+ROUND(+SUM(G43:G46),0)</f>
        <v>428764</v>
      </c>
      <c r="H47" s="15"/>
      <c r="I47" s="265">
        <f>+ROUND(+SUM(I43:I46),0)</f>
        <v>237345</v>
      </c>
      <c r="J47" s="264">
        <f>+ROUND(+SUM(J43:J46),0)</f>
        <v>887375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241845</v>
      </c>
      <c r="P47" s="396">
        <f>+ROUND(+SUM(P43:P46),0)</f>
        <v>1316139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1711818</v>
      </c>
      <c r="G49" s="286">
        <f>+ROUND(G24+G29+G36+G41+G47,0)</f>
        <v>14526309</v>
      </c>
      <c r="H49" s="15"/>
      <c r="I49" s="287">
        <f>+ROUND(I24+I29+I36+I41+I47,0)</f>
        <v>237345</v>
      </c>
      <c r="J49" s="286">
        <f>+ROUND(J24+J29+J36+J41+J47,0)</f>
        <v>887375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1949163</v>
      </c>
      <c r="P49" s="413">
        <f>+ROUND(P24+P29+P36+P41+P47,0)</f>
        <v>15413684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4386236</v>
      </c>
      <c r="G52" s="288">
        <v>56720659</v>
      </c>
      <c r="H52" s="15"/>
      <c r="I52" s="289">
        <f>2287577+231756+462356</f>
        <v>2981689</v>
      </c>
      <c r="J52" s="288">
        <v>4401700</v>
      </c>
      <c r="K52" s="256"/>
      <c r="L52" s="289"/>
      <c r="M52" s="288"/>
      <c r="N52" s="256"/>
      <c r="O52" s="399">
        <f aca="true" t="shared" si="4" ref="O52:P56">+ROUND(+F52+I52+L52,0)</f>
        <v>7367925</v>
      </c>
      <c r="P52" s="392">
        <f t="shared" si="4"/>
        <v>61122359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107372</v>
      </c>
      <c r="G53" s="262">
        <v>302697</v>
      </c>
      <c r="H53" s="15"/>
      <c r="I53" s="263">
        <v>10</v>
      </c>
      <c r="J53" s="262">
        <v>1224</v>
      </c>
      <c r="K53" s="256"/>
      <c r="L53" s="263"/>
      <c r="M53" s="262"/>
      <c r="N53" s="256"/>
      <c r="O53" s="394">
        <f t="shared" si="4"/>
        <v>107382</v>
      </c>
      <c r="P53" s="417">
        <f t="shared" si="4"/>
        <v>303921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297981</v>
      </c>
      <c r="G54" s="262">
        <v>6419715</v>
      </c>
      <c r="H54" s="15"/>
      <c r="I54" s="263">
        <f>1500-1000</f>
        <v>500</v>
      </c>
      <c r="J54" s="262">
        <v>1207</v>
      </c>
      <c r="K54" s="256"/>
      <c r="L54" s="263"/>
      <c r="M54" s="262"/>
      <c r="N54" s="256"/>
      <c r="O54" s="394">
        <f t="shared" si="4"/>
        <v>298481</v>
      </c>
      <c r="P54" s="417">
        <f t="shared" si="4"/>
        <v>6420922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12314014</v>
      </c>
      <c r="G55" s="262">
        <v>48529983</v>
      </c>
      <c r="H55" s="15"/>
      <c r="I55" s="263">
        <f>157003+40749+735975</f>
        <v>933727</v>
      </c>
      <c r="J55" s="262">
        <v>3659978</v>
      </c>
      <c r="K55" s="256"/>
      <c r="L55" s="263"/>
      <c r="M55" s="262"/>
      <c r="N55" s="256"/>
      <c r="O55" s="394">
        <f t="shared" si="4"/>
        <v>13247741</v>
      </c>
      <c r="P55" s="417">
        <f t="shared" si="4"/>
        <v>52189961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2763654</v>
      </c>
      <c r="G56" s="262">
        <v>10287811</v>
      </c>
      <c r="H56" s="15"/>
      <c r="I56" s="263">
        <f>26049+8075+194277</f>
        <v>228401</v>
      </c>
      <c r="J56" s="262">
        <v>878607</v>
      </c>
      <c r="K56" s="256"/>
      <c r="L56" s="263"/>
      <c r="M56" s="262"/>
      <c r="N56" s="256"/>
      <c r="O56" s="394">
        <f t="shared" si="4"/>
        <v>2992055</v>
      </c>
      <c r="P56" s="417">
        <f t="shared" si="4"/>
        <v>11166418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19869257</v>
      </c>
      <c r="G57" s="290">
        <f>+ROUND(+SUM(G52:G56),0)</f>
        <v>122260865</v>
      </c>
      <c r="H57" s="15"/>
      <c r="I57" s="291">
        <f>+ROUND(+SUM(I52:I56),0)</f>
        <v>4144327</v>
      </c>
      <c r="J57" s="290">
        <f>+ROUND(+SUM(J52:J56),0)</f>
        <v>8942716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24013584</v>
      </c>
      <c r="P57" s="415">
        <f>+ROUND(+SUM(P52:P56),0)</f>
        <v>131203581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162026</v>
      </c>
      <c r="G60" s="262">
        <v>172357483</v>
      </c>
      <c r="H60" s="15"/>
      <c r="I60" s="263">
        <f>1375745+9817</f>
        <v>1385562</v>
      </c>
      <c r="J60" s="262">
        <v>3185610</v>
      </c>
      <c r="K60" s="256"/>
      <c r="L60" s="263"/>
      <c r="M60" s="262"/>
      <c r="N60" s="256"/>
      <c r="O60" s="394">
        <f t="shared" si="5"/>
        <v>1547588</v>
      </c>
      <c r="P60" s="417">
        <f t="shared" si="5"/>
        <v>175543093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28310</v>
      </c>
      <c r="G61" s="262">
        <v>1924573</v>
      </c>
      <c r="H61" s="15"/>
      <c r="I61" s="263"/>
      <c r="J61" s="262">
        <v>13770</v>
      </c>
      <c r="K61" s="256"/>
      <c r="L61" s="263"/>
      <c r="M61" s="262"/>
      <c r="N61" s="256"/>
      <c r="O61" s="394">
        <f t="shared" si="5"/>
        <v>28310</v>
      </c>
      <c r="P61" s="417">
        <f t="shared" si="5"/>
        <v>1938343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190336</v>
      </c>
      <c r="G64" s="290">
        <f>+ROUND(+SUM(G59:G62),0)</f>
        <v>174282056</v>
      </c>
      <c r="H64" s="15"/>
      <c r="I64" s="291">
        <f>+ROUND(+SUM(I59:I62),0)</f>
        <v>1385562</v>
      </c>
      <c r="J64" s="290">
        <f>+ROUND(+SUM(J59:J62),0)</f>
        <v>3199380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1575898</v>
      </c>
      <c r="P64" s="415">
        <f>+ROUND(+SUM(P59:P62),0)</f>
        <v>177481436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>
        <v>5</v>
      </c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5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5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1139</v>
      </c>
      <c r="G70" s="288">
        <v>283976</v>
      </c>
      <c r="H70" s="15"/>
      <c r="I70" s="289"/>
      <c r="J70" s="288"/>
      <c r="K70" s="256"/>
      <c r="L70" s="289"/>
      <c r="M70" s="288"/>
      <c r="N70" s="256"/>
      <c r="O70" s="399">
        <f>+ROUND(+F70+I70+L70,0)</f>
        <v>1139</v>
      </c>
      <c r="P70" s="392">
        <f>+ROUND(+G70+J70+M70,0)</f>
        <v>283976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1139</v>
      </c>
      <c r="G72" s="290">
        <f>+ROUND(+SUM(G70:G71),0)</f>
        <v>283976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1139</v>
      </c>
      <c r="P72" s="415">
        <f>+ROUND(+SUM(P70:P71),0)</f>
        <v>283976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1879696</v>
      </c>
      <c r="G74" s="288">
        <v>6722277</v>
      </c>
      <c r="H74" s="15"/>
      <c r="I74" s="289">
        <f>85161+50287</f>
        <v>135448</v>
      </c>
      <c r="J74" s="288">
        <v>32271</v>
      </c>
      <c r="K74" s="256"/>
      <c r="L74" s="289"/>
      <c r="M74" s="288"/>
      <c r="N74" s="256"/>
      <c r="O74" s="399">
        <f>+ROUND(+F74+I74+L74,0)</f>
        <v>2015144</v>
      </c>
      <c r="P74" s="392">
        <f>+ROUND(+G74+J74+M74,0)</f>
        <v>6754548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1879696</v>
      </c>
      <c r="G76" s="290">
        <f>+ROUND(+SUM(G74:G75),0)</f>
        <v>6722277</v>
      </c>
      <c r="H76" s="15"/>
      <c r="I76" s="291">
        <f>+ROUND(+SUM(I74:I75),0)</f>
        <v>135448</v>
      </c>
      <c r="J76" s="290">
        <f>+ROUND(+SUM(J74:J75),0)</f>
        <v>32271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2015144</v>
      </c>
      <c r="P76" s="415">
        <f>+ROUND(+SUM(P74:P75),0)</f>
        <v>6754548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21940428</v>
      </c>
      <c r="G78" s="301">
        <f>+ROUND(G57+G64+G68+G72+G76,0)</f>
        <v>303549179</v>
      </c>
      <c r="H78" s="15"/>
      <c r="I78" s="298">
        <f>+ROUND(I57+I64+I68+I72+I76,0)</f>
        <v>5665337</v>
      </c>
      <c r="J78" s="301">
        <f>+ROUND(J57+J64+J68+J72+J76,0)</f>
        <v>12174367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27605765</v>
      </c>
      <c r="P78" s="425">
        <f>+ROUND(P57+P64+P68+P72+P76,0)</f>
        <v>315723546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12593219</v>
      </c>
      <c r="G80" s="258">
        <v>294861621</v>
      </c>
      <c r="H80" s="15"/>
      <c r="I80" s="259">
        <f>11949599+216223+1082814</f>
        <v>13248636</v>
      </c>
      <c r="J80" s="258">
        <v>20109294</v>
      </c>
      <c r="K80" s="256"/>
      <c r="L80" s="259"/>
      <c r="M80" s="258"/>
      <c r="N80" s="256"/>
      <c r="O80" s="398">
        <f>+ROUND(+F80+I80+L80,0)</f>
        <v>25841855</v>
      </c>
      <c r="P80" s="411">
        <f>+ROUND(+G80+J80+M80,0)</f>
        <v>314970915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-1913142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-1913142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12593219</v>
      </c>
      <c r="G82" s="299">
        <f>+ROUND(G80+G81,0)</f>
        <v>294861621</v>
      </c>
      <c r="H82" s="15"/>
      <c r="I82" s="300">
        <f>+ROUND(I80+I81,0)</f>
        <v>13248636</v>
      </c>
      <c r="J82" s="299">
        <f>+ROUND(J80+J81,0)</f>
        <v>18196152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25841855</v>
      </c>
      <c r="P82" s="420">
        <f>+ROUND(P80+P81,0)</f>
        <v>313057773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-7635391</v>
      </c>
      <c r="G84" s="320">
        <f>+ROUND(G49,0)-ROUND(G78,0)+ROUND(G82,0)</f>
        <v>5838751</v>
      </c>
      <c r="H84" s="15"/>
      <c r="I84" s="321">
        <f>+ROUND(I49,0)-ROUND(I78,0)+ROUND(I82,0)</f>
        <v>7820644</v>
      </c>
      <c r="J84" s="320">
        <f>+ROUND(J49,0)-ROUND(J78,0)+ROUND(J82,0)</f>
        <v>6909160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185253</v>
      </c>
      <c r="P84" s="422">
        <f>+ROUND(P49,0)-ROUND(P78,0)+ROUND(P82,0)</f>
        <v>12747911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7635391</v>
      </c>
      <c r="G85" s="322">
        <f>+ROUND(G102,0)+ROUND(G121,0)+ROUND(G127,0)-ROUND(G132,0)</f>
        <v>-5838751</v>
      </c>
      <c r="H85" s="15"/>
      <c r="I85" s="323">
        <f>+ROUND(I102,0)+ROUND(I121,0)+ROUND(I127,0)-ROUND(I132,0)</f>
        <v>-7820644</v>
      </c>
      <c r="J85" s="322">
        <f>+ROUND(J102,0)+ROUND(J121,0)+ROUND(J127,0)-ROUND(J132,0)</f>
        <v>-6909160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-185253</v>
      </c>
      <c r="P85" s="424">
        <f>+ROUND(P102,0)+ROUND(P121,0)+ROUND(P127,0)-ROUND(P132,0)</f>
        <v>-12747911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>
        <v>-17000000</v>
      </c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-17000000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-17000000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-17000000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2227</v>
      </c>
      <c r="G99" s="262">
        <v>6435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2227</v>
      </c>
      <c r="P99" s="417">
        <f>+ROUND(+G99+J99+M99,0)</f>
        <v>6435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2227</v>
      </c>
      <c r="G100" s="264">
        <f>+ROUND(+SUM(G98:G99),0)</f>
        <v>6435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2227</v>
      </c>
      <c r="P100" s="396">
        <f>+ROUND(+SUM(P98:P99),0)</f>
        <v>6435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2227</v>
      </c>
      <c r="G102" s="286">
        <f>+ROUND(G90+G96+G100,0)</f>
        <v>-16993565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2227</v>
      </c>
      <c r="P102" s="413">
        <f>+ROUND(P90+P96+P100,0)</f>
        <v>-16993565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8608</v>
      </c>
      <c r="G117" s="288">
        <v>55</v>
      </c>
      <c r="H117" s="15"/>
      <c r="I117" s="289"/>
      <c r="J117" s="288"/>
      <c r="K117" s="256"/>
      <c r="L117" s="289">
        <v>-273452</v>
      </c>
      <c r="M117" s="288">
        <v>551379</v>
      </c>
      <c r="N117" s="256"/>
      <c r="O117" s="399">
        <f>+ROUND(+F117+I117+L117,0)</f>
        <v>-264844</v>
      </c>
      <c r="P117" s="392">
        <f>+ROUND(+G117+J117+M117,0)</f>
        <v>551434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8608</v>
      </c>
      <c r="G119" s="290">
        <f>+ROUND(+SUM(G117:G118),0)</f>
        <v>55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-273452</v>
      </c>
      <c r="M119" s="290">
        <f>+ROUND(+SUM(M117:M118),0)</f>
        <v>551379</v>
      </c>
      <c r="N119" s="256"/>
      <c r="O119" s="414">
        <f>+ROUND(+SUM(O117:O118),0)</f>
        <v>-264844</v>
      </c>
      <c r="P119" s="415">
        <f>+ROUND(+SUM(P117:P118),0)</f>
        <v>551434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8608</v>
      </c>
      <c r="G121" s="301">
        <f>+ROUND(G107+G111+G115+G119,0)</f>
        <v>55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-273452</v>
      </c>
      <c r="M121" s="301">
        <f>+ROUND(M107+M111+M115+M119,0)</f>
        <v>551379</v>
      </c>
      <c r="N121" s="256"/>
      <c r="O121" s="418">
        <f>+ROUND(O107+O111+O115+O119,0)</f>
        <v>-264844</v>
      </c>
      <c r="P121" s="425">
        <f>+ROUND(P107+P111+P115+P119,0)</f>
        <v>551434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8109457</v>
      </c>
      <c r="G124" s="262">
        <v>7780574</v>
      </c>
      <c r="H124" s="15"/>
      <c r="I124" s="263">
        <f>-8226896+35296+82143</f>
        <v>-8109457</v>
      </c>
      <c r="J124" s="262">
        <v>-6341584</v>
      </c>
      <c r="K124" s="256"/>
      <c r="L124" s="263">
        <v>-448729</v>
      </c>
      <c r="M124" s="262">
        <v>95343</v>
      </c>
      <c r="N124" s="256"/>
      <c r="O124" s="394">
        <f t="shared" si="7"/>
        <v>-448729</v>
      </c>
      <c r="P124" s="417">
        <f t="shared" si="7"/>
        <v>1534333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-739825</v>
      </c>
      <c r="G125" s="262">
        <v>7385196</v>
      </c>
      <c r="H125" s="15"/>
      <c r="I125" s="263">
        <f>-209+11084+277938</f>
        <v>288813</v>
      </c>
      <c r="J125" s="262">
        <v>-567576</v>
      </c>
      <c r="K125" s="256"/>
      <c r="L125" s="263"/>
      <c r="M125" s="262">
        <v>173950</v>
      </c>
      <c r="N125" s="256"/>
      <c r="O125" s="394">
        <f t="shared" si="7"/>
        <v>-451012</v>
      </c>
      <c r="P125" s="417">
        <f t="shared" si="7"/>
        <v>6991570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7369632</v>
      </c>
      <c r="G127" s="299">
        <f>+ROUND(+SUM(G123:G126),0)</f>
        <v>15165770</v>
      </c>
      <c r="H127" s="15"/>
      <c r="I127" s="300">
        <f>+ROUND(+SUM(I123:I126),0)</f>
        <v>-7820644</v>
      </c>
      <c r="J127" s="299">
        <f>+ROUND(+SUM(J123:J126),0)</f>
        <v>-6909160</v>
      </c>
      <c r="K127" s="256"/>
      <c r="L127" s="300">
        <f>+ROUND(+SUM(L123:L126),0)</f>
        <v>-448729</v>
      </c>
      <c r="M127" s="299">
        <f>+ROUND(+SUM(M123:M126),0)</f>
        <v>269293</v>
      </c>
      <c r="N127" s="256"/>
      <c r="O127" s="419">
        <f>+ROUND(+SUM(O123:O126),0)</f>
        <v>-899741</v>
      </c>
      <c r="P127" s="420">
        <f>+ROUND(+SUM(P123:P126),0)</f>
        <v>8525903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4409841</v>
      </c>
      <c r="G129" s="258">
        <v>396830</v>
      </c>
      <c r="H129" s="15"/>
      <c r="I129" s="259"/>
      <c r="J129" s="258"/>
      <c r="K129" s="256"/>
      <c r="L129" s="259">
        <v>23385062</v>
      </c>
      <c r="M129" s="258">
        <v>22564390</v>
      </c>
      <c r="N129" s="256"/>
      <c r="O129" s="398">
        <f aca="true" t="shared" si="8" ref="O129:P131">+ROUND(+F129+I129+L129,0)</f>
        <v>27794903</v>
      </c>
      <c r="P129" s="411">
        <f t="shared" si="8"/>
        <v>22961220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1998</v>
      </c>
      <c r="G130" s="262">
        <v>2000</v>
      </c>
      <c r="H130" s="15"/>
      <c r="I130" s="263"/>
      <c r="J130" s="262"/>
      <c r="K130" s="256"/>
      <c r="L130" s="263"/>
      <c r="M130" s="262"/>
      <c r="N130" s="256"/>
      <c r="O130" s="394">
        <f t="shared" si="8"/>
        <v>1998</v>
      </c>
      <c r="P130" s="417">
        <f t="shared" si="8"/>
        <v>2000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4156915</v>
      </c>
      <c r="G131" s="262">
        <v>4409841</v>
      </c>
      <c r="H131" s="15"/>
      <c r="I131" s="263"/>
      <c r="J131" s="262"/>
      <c r="K131" s="256"/>
      <c r="L131" s="263">
        <v>22662881</v>
      </c>
      <c r="M131" s="262">
        <v>23385062</v>
      </c>
      <c r="N131" s="256"/>
      <c r="O131" s="394">
        <f t="shared" si="8"/>
        <v>26819796</v>
      </c>
      <c r="P131" s="417">
        <f t="shared" si="8"/>
        <v>27794903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-254924</v>
      </c>
      <c r="G132" s="304">
        <f>+ROUND(+G131-G129-G130,0)</f>
        <v>4011011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-722181</v>
      </c>
      <c r="M132" s="304">
        <f>+ROUND(+M131-M129-M130,0)</f>
        <v>820672</v>
      </c>
      <c r="N132" s="256"/>
      <c r="O132" s="428">
        <f>+ROUND(+O131-O129-O130,0)</f>
        <v>-977105</v>
      </c>
      <c r="P132" s="429">
        <f>+ROUND(+P131-P129-P130,0)</f>
        <v>4831683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/>
      <c r="G141" s="645"/>
      <c r="H141" s="645"/>
      <c r="I141" s="646"/>
      <c r="J141" s="378"/>
      <c r="K141" s="16"/>
      <c r="L141" s="378" t="s">
        <v>250</v>
      </c>
      <c r="M141" s="644"/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5.7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3 K117 K125:L125 K124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6" sqref="R14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МИНИСТЕРСКИ СЪВЕТ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695025</v>
      </c>
      <c r="J1" s="668"/>
      <c r="K1" s="473"/>
      <c r="L1" s="474" t="s">
        <v>275</v>
      </c>
      <c r="M1" s="475">
        <f>+'Cash-Flow-2017-Leva'!M1</f>
        <v>300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 t="str">
        <f>+'Cash-Flow-2017-Leva'!H3</f>
        <v>www,government,bg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МИНИСТЕРСКИ СЪВЕТ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31.03.2017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31.03.2017 г.</v>
      </c>
      <c r="G11" s="430">
        <f>+'Cash-Flow-2017-Leva'!G11</f>
        <v>2016</v>
      </c>
      <c r="H11" s="5"/>
      <c r="I11" s="130" t="str">
        <f>+O8</f>
        <v>31.03.2017 г.</v>
      </c>
      <c r="J11" s="431">
        <f>+'Cash-Flow-2017-Leva'!J11</f>
        <v>2016</v>
      </c>
      <c r="K11" s="5"/>
      <c r="L11" s="128" t="str">
        <f>+O8</f>
        <v>31.03.2017 г.</v>
      </c>
      <c r="M11" s="432">
        <f>+'Cash-Flow-2017-Leva'!M11</f>
        <v>2016</v>
      </c>
      <c r="N11" s="511"/>
      <c r="O11" s="386" t="str">
        <f>+O8</f>
        <v>31.03.2017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104.308</v>
      </c>
      <c r="G16" s="307">
        <f>+'Cash-Flow-2017-Leva'!G16/1000</f>
        <v>689.558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104.308</v>
      </c>
      <c r="P16" s="446">
        <f t="shared" si="1"/>
        <v>689.558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35.054</v>
      </c>
      <c r="G17" s="307">
        <f>+'Cash-Flow-2017-Leva'!G17/1000</f>
        <v>213.113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35.054</v>
      </c>
      <c r="P17" s="446">
        <f t="shared" si="1"/>
        <v>213.113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1208.888</v>
      </c>
      <c r="G18" s="307">
        <f>+'Cash-Flow-2017-Leva'!G18/1000</f>
        <v>6096.858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1208.888</v>
      </c>
      <c r="P18" s="446">
        <f t="shared" si="1"/>
        <v>6096.858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927.368</v>
      </c>
      <c r="G19" s="307">
        <f>+'Cash-Flow-2017-Leva'!G19/1000</f>
        <v>3231.533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927.368</v>
      </c>
      <c r="P19" s="446">
        <f t="shared" si="1"/>
        <v>3231.533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957.081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957.081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0.081</v>
      </c>
      <c r="G21" s="307">
        <f>+'Cash-Flow-2017-Leva'!G21/1000</f>
        <v>6.43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0.081</v>
      </c>
      <c r="P21" s="446">
        <f t="shared" si="1"/>
        <v>6.43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53.453</v>
      </c>
      <c r="G23" s="296">
        <f>+'Cash-Flow-2017-Leva'!G23/1000</f>
        <v>406.518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53.453</v>
      </c>
      <c r="P23" s="417">
        <f t="shared" si="1"/>
        <v>406.518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2329.152</v>
      </c>
      <c r="G24" s="264">
        <f>+SUM(G15:G23)</f>
        <v>11601.091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2329.152</v>
      </c>
      <c r="P24" s="396">
        <f>+SUM(P15:P23)</f>
        <v>11601.091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839.134</v>
      </c>
      <c r="G26" s="284">
        <f>+'Cash-Flow-2017-Leva'!G26/1000</f>
        <v>4872.055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839.134</v>
      </c>
      <c r="P26" s="411">
        <f t="shared" si="2"/>
        <v>4872.055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284.884</v>
      </c>
      <c r="G27" s="307">
        <f>+'Cash-Flow-2017-Leva'!G27/1000</f>
        <v>782.089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284.884</v>
      </c>
      <c r="P27" s="446">
        <f t="shared" si="2"/>
        <v>782.089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1124.018</v>
      </c>
      <c r="G29" s="264">
        <f>+SUM(G26:G28)</f>
        <v>5654.144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1124.018</v>
      </c>
      <c r="P29" s="396">
        <f>+SUM(P26:P28)</f>
        <v>5654.144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-1757.989</v>
      </c>
      <c r="G36" s="264">
        <f>+'Cash-Flow-2017-Leva'!G36/1000</f>
        <v>-3252.026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-1757.989</v>
      </c>
      <c r="P36" s="396">
        <f t="shared" si="3"/>
        <v>-3252.026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-1309.937</v>
      </c>
      <c r="G37" s="309">
        <f>+'Cash-Flow-2017-Leva'!G37/1000</f>
        <v>-2794.447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-1309.937</v>
      </c>
      <c r="P37" s="447">
        <f t="shared" si="3"/>
        <v>-2794.447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-445.735</v>
      </c>
      <c r="G38" s="311">
        <f>+'Cash-Flow-2017-Leva'!G38/1000</f>
        <v>-435.584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-445.735</v>
      </c>
      <c r="P38" s="448">
        <f t="shared" si="3"/>
        <v>-435.584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-2.317</v>
      </c>
      <c r="G39" s="313">
        <f>+'Cash-Flow-2017-Leva'!G39/1000</f>
        <v>-19.118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-2.317</v>
      </c>
      <c r="P39" s="449">
        <f t="shared" si="3"/>
        <v>-19.118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12.137</v>
      </c>
      <c r="G41" s="264">
        <f>+'Cash-Flow-2017-Leva'!G41/1000</f>
        <v>94.336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12.137</v>
      </c>
      <c r="P41" s="396">
        <f>+G41+J41+M41</f>
        <v>94.336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149.406</v>
      </c>
      <c r="J43" s="284">
        <f>+'Cash-Flow-2017-Leva'!J43/1000</f>
        <v>834.433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149.406</v>
      </c>
      <c r="P43" s="411">
        <f t="shared" si="4"/>
        <v>834.433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390.804</v>
      </c>
      <c r="H44" s="306"/>
      <c r="I44" s="308">
        <f>+'Cash-Flow-2017-Leva'!I44/1000</f>
        <v>87.939</v>
      </c>
      <c r="J44" s="307">
        <f>+'Cash-Flow-2017-Leva'!J44/1000</f>
        <v>52.942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87.939</v>
      </c>
      <c r="P44" s="446">
        <f t="shared" si="4"/>
        <v>443.746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4.5</v>
      </c>
      <c r="G46" s="296">
        <f>+'Cash-Flow-2017-Leva'!G46/1000</f>
        <v>37.96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4.5</v>
      </c>
      <c r="P46" s="417">
        <f t="shared" si="4"/>
        <v>37.96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4.5</v>
      </c>
      <c r="G47" s="264">
        <f>+SUM(G43:G46)</f>
        <v>428.76399999999995</v>
      </c>
      <c r="H47" s="306"/>
      <c r="I47" s="265">
        <f>+SUM(I43:I46)</f>
        <v>237.345</v>
      </c>
      <c r="J47" s="264">
        <f>+SUM(J43:J46)</f>
        <v>887.375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241.845</v>
      </c>
      <c r="P47" s="396">
        <f>+SUM(P43:P46)</f>
        <v>1316.1390000000001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1711.818</v>
      </c>
      <c r="G49" s="286">
        <f>+G24+G29+G36+G41+G47</f>
        <v>14526.309</v>
      </c>
      <c r="H49" s="306"/>
      <c r="I49" s="287">
        <f>+I24+I29+I36+I41+I47</f>
        <v>237.345</v>
      </c>
      <c r="J49" s="286">
        <f>+J24+J29+J36+J41+J47</f>
        <v>887.375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1949.163</v>
      </c>
      <c r="P49" s="413">
        <f>+P24+P29+P36+P41+P47</f>
        <v>15413.684000000001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4386.236</v>
      </c>
      <c r="G52" s="257">
        <f>+'Cash-Flow-2017-Leva'!G52/1000</f>
        <v>56720.659</v>
      </c>
      <c r="H52" s="306"/>
      <c r="I52" s="267">
        <f>+'Cash-Flow-2017-Leva'!I52/1000</f>
        <v>2981.689</v>
      </c>
      <c r="J52" s="257">
        <f>+'Cash-Flow-2017-Leva'!J52/1000</f>
        <v>4401.7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7367.924999999999</v>
      </c>
      <c r="P52" s="392">
        <f t="shared" si="5"/>
        <v>61122.359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107.372</v>
      </c>
      <c r="G53" s="296">
        <f>+'Cash-Flow-2017-Leva'!G53/1000</f>
        <v>302.697</v>
      </c>
      <c r="H53" s="306"/>
      <c r="I53" s="297">
        <f>+'Cash-Flow-2017-Leva'!I53/1000</f>
        <v>0.01</v>
      </c>
      <c r="J53" s="296">
        <f>+'Cash-Flow-2017-Leva'!J53/1000</f>
        <v>1.224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107.382</v>
      </c>
      <c r="P53" s="417">
        <f t="shared" si="5"/>
        <v>303.921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297.981</v>
      </c>
      <c r="G54" s="296">
        <f>+'Cash-Flow-2017-Leva'!G54/1000</f>
        <v>6419.715</v>
      </c>
      <c r="H54" s="306"/>
      <c r="I54" s="297">
        <f>+'Cash-Flow-2017-Leva'!I54/1000</f>
        <v>0.5</v>
      </c>
      <c r="J54" s="296">
        <f>+'Cash-Flow-2017-Leva'!J54/1000</f>
        <v>1.207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298.481</v>
      </c>
      <c r="P54" s="417">
        <f t="shared" si="5"/>
        <v>6420.9220000000005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12314.014</v>
      </c>
      <c r="G55" s="296">
        <f>+'Cash-Flow-2017-Leva'!G55/1000</f>
        <v>48529.983</v>
      </c>
      <c r="H55" s="306"/>
      <c r="I55" s="297">
        <f>+'Cash-Flow-2017-Leva'!I55/1000</f>
        <v>933.727</v>
      </c>
      <c r="J55" s="296">
        <f>+'Cash-Flow-2017-Leva'!J55/1000</f>
        <v>3659.978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13247.741</v>
      </c>
      <c r="P55" s="417">
        <f t="shared" si="5"/>
        <v>52189.961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2763.654</v>
      </c>
      <c r="G56" s="296">
        <f>+'Cash-Flow-2017-Leva'!G56/1000</f>
        <v>10287.811</v>
      </c>
      <c r="H56" s="306"/>
      <c r="I56" s="297">
        <f>+'Cash-Flow-2017-Leva'!I56/1000</f>
        <v>228.401</v>
      </c>
      <c r="J56" s="296">
        <f>+'Cash-Flow-2017-Leva'!J56/1000</f>
        <v>878.607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2992.055</v>
      </c>
      <c r="P56" s="417">
        <f t="shared" si="5"/>
        <v>11166.418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19869.256999999998</v>
      </c>
      <c r="G57" s="290">
        <f>+SUM(G52:G56)</f>
        <v>122260.865</v>
      </c>
      <c r="H57" s="306"/>
      <c r="I57" s="291">
        <f>+SUM(I52:I56)</f>
        <v>4144.327</v>
      </c>
      <c r="J57" s="290">
        <f>+SUM(J52:J56)</f>
        <v>8942.716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24013.584</v>
      </c>
      <c r="P57" s="415">
        <f>+SUM(P52:P56)</f>
        <v>131203.581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162.026</v>
      </c>
      <c r="G60" s="296">
        <f>+'Cash-Flow-2017-Leva'!G60/1000</f>
        <v>172357.483</v>
      </c>
      <c r="H60" s="306"/>
      <c r="I60" s="297">
        <f>+'Cash-Flow-2017-Leva'!I60/1000</f>
        <v>1385.562</v>
      </c>
      <c r="J60" s="296">
        <f>+'Cash-Flow-2017-Leva'!J60/1000</f>
        <v>3185.61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1547.588</v>
      </c>
      <c r="P60" s="417">
        <f t="shared" si="6"/>
        <v>175543.093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28.31</v>
      </c>
      <c r="G61" s="296">
        <f>+'Cash-Flow-2017-Leva'!G61/1000</f>
        <v>1924.573</v>
      </c>
      <c r="H61" s="306"/>
      <c r="I61" s="297">
        <f>+'Cash-Flow-2017-Leva'!I61/1000</f>
        <v>0</v>
      </c>
      <c r="J61" s="296">
        <f>+'Cash-Flow-2017-Leva'!J61/1000</f>
        <v>13.77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28.31</v>
      </c>
      <c r="P61" s="417">
        <f t="shared" si="6"/>
        <v>1938.343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190.336</v>
      </c>
      <c r="G64" s="290">
        <f>+SUM(G59:G62)</f>
        <v>174282.056</v>
      </c>
      <c r="H64" s="306"/>
      <c r="I64" s="291">
        <f>+SUM(I59:I62)</f>
        <v>1385.562</v>
      </c>
      <c r="J64" s="290">
        <f>+SUM(J59:J62)</f>
        <v>3199.38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1575.898</v>
      </c>
      <c r="P64" s="415">
        <f>+SUM(P59:P62)</f>
        <v>177481.436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0.005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0.005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0.005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0.005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1.139</v>
      </c>
      <c r="G70" s="257">
        <f>+'Cash-Flow-2017-Leva'!G70/1000</f>
        <v>283.976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1.139</v>
      </c>
      <c r="P70" s="392">
        <f>+G70+J70+M70</f>
        <v>283.976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1.139</v>
      </c>
      <c r="G72" s="290">
        <f>+SUM(G70:G71)</f>
        <v>283.976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1.139</v>
      </c>
      <c r="P72" s="415">
        <f>+SUM(P70:P71)</f>
        <v>283.976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1879.696</v>
      </c>
      <c r="G74" s="257">
        <f>+'Cash-Flow-2017-Leva'!G74/1000</f>
        <v>6722.277</v>
      </c>
      <c r="H74" s="306"/>
      <c r="I74" s="267">
        <f>+'Cash-Flow-2017-Leva'!I74/1000</f>
        <v>135.448</v>
      </c>
      <c r="J74" s="257">
        <f>+'Cash-Flow-2017-Leva'!J74/1000</f>
        <v>32.271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2015.144</v>
      </c>
      <c r="P74" s="392">
        <f>+G74+J74+M74</f>
        <v>6754.548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1879.696</v>
      </c>
      <c r="G76" s="290">
        <f>+SUM(G74:G75)</f>
        <v>6722.277</v>
      </c>
      <c r="H76" s="306"/>
      <c r="I76" s="291">
        <f>+SUM(I74:I75)</f>
        <v>135.448</v>
      </c>
      <c r="J76" s="290">
        <f>+SUM(J74:J75)</f>
        <v>32.271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2015.144</v>
      </c>
      <c r="P76" s="415">
        <f>+SUM(P74:P75)</f>
        <v>6754.548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21940.427999999996</v>
      </c>
      <c r="G78" s="301">
        <f>+G57+G64+G68+G72+G76</f>
        <v>303549.17900000006</v>
      </c>
      <c r="H78" s="306"/>
      <c r="I78" s="298">
        <f>+I57+I64+I68+I72+I76</f>
        <v>5665.337</v>
      </c>
      <c r="J78" s="301">
        <f>+J57+J64+J68+J72+J76</f>
        <v>12174.367000000002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27605.765</v>
      </c>
      <c r="P78" s="425">
        <f>+P57+P64+P68+P72+P76</f>
        <v>315723.54600000003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12593.219</v>
      </c>
      <c r="G80" s="284">
        <f>+'Cash-Flow-2017-Leva'!G80/1000</f>
        <v>294861.621</v>
      </c>
      <c r="H80" s="306"/>
      <c r="I80" s="285">
        <f>+'Cash-Flow-2017-Leva'!I80/1000</f>
        <v>13248.636</v>
      </c>
      <c r="J80" s="284">
        <f>+'Cash-Flow-2017-Leva'!J80/1000</f>
        <v>20109.294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25841.855</v>
      </c>
      <c r="P80" s="411">
        <f>+G80+J80+M80</f>
        <v>314970.915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-1913.142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-1913.142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12593.219</v>
      </c>
      <c r="G82" s="299">
        <f>+G80+G81</f>
        <v>294861.621</v>
      </c>
      <c r="H82" s="306"/>
      <c r="I82" s="300">
        <f>+I80+I81</f>
        <v>13248.636</v>
      </c>
      <c r="J82" s="299">
        <f>+J80+J81</f>
        <v>18196.152000000002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25841.855</v>
      </c>
      <c r="P82" s="420">
        <f>+P80+P81</f>
        <v>313057.773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-7635.390999999998</v>
      </c>
      <c r="G84" s="320">
        <f>+G49-G78+G82</f>
        <v>5838.750999999931</v>
      </c>
      <c r="H84" s="306"/>
      <c r="I84" s="321">
        <f>+I49-I78+I82</f>
        <v>7820.644</v>
      </c>
      <c r="J84" s="320">
        <f>+J49-J78+J82</f>
        <v>6909.16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185.2530000000006</v>
      </c>
      <c r="P84" s="422">
        <f>+P49-P78+P82</f>
        <v>12747.910999999964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7635.3910000000005</v>
      </c>
      <c r="G85" s="322">
        <f>+G102+G121+G127-G132</f>
        <v>-5838.750999999998</v>
      </c>
      <c r="H85" s="306"/>
      <c r="I85" s="323">
        <f>+I102+I121+I127-I132</f>
        <v>-7820.644</v>
      </c>
      <c r="J85" s="322">
        <f>+J102+J121+J127-J132</f>
        <v>-6909.16</v>
      </c>
      <c r="K85" s="306"/>
      <c r="L85" s="323">
        <f>+L102+L121+L127-L132</f>
        <v>0</v>
      </c>
      <c r="M85" s="322">
        <f>+M102+M121+M127-M132</f>
        <v>-2.2737367544323206E-12</v>
      </c>
      <c r="N85" s="512"/>
      <c r="O85" s="423">
        <f>+O102+O121+O127-O132</f>
        <v>-185.25299999999993</v>
      </c>
      <c r="P85" s="424">
        <f>+P102+P121+P127-P132</f>
        <v>-12747.910999999998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-17000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-17000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-17000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-17000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2.227</v>
      </c>
      <c r="G99" s="296">
        <f>+'Cash-Flow-2017-Leva'!G99/1000</f>
        <v>6.435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2.227</v>
      </c>
      <c r="P99" s="417">
        <f>+G99+J99+M99</f>
        <v>6.435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2.227</v>
      </c>
      <c r="G100" s="264">
        <f>+SUM(G98:G99)</f>
        <v>6.435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2.227</v>
      </c>
      <c r="P100" s="396">
        <f>+SUM(P98:P99)</f>
        <v>6.435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2.227</v>
      </c>
      <c r="G102" s="286">
        <f>+G90+G96+G100</f>
        <v>-16993.565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2.227</v>
      </c>
      <c r="P102" s="413">
        <f>+P90+P96+P100</f>
        <v>-16993.565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8.608</v>
      </c>
      <c r="G117" s="257">
        <f>+'Cash-Flow-2017-Leva'!G117/1000</f>
        <v>0.055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-273.452</v>
      </c>
      <c r="M117" s="257">
        <f>+'Cash-Flow-2017-Leva'!M117/1000</f>
        <v>551.379</v>
      </c>
      <c r="N117" s="512"/>
      <c r="O117" s="399">
        <f>+F117+I117+L117</f>
        <v>-264.844</v>
      </c>
      <c r="P117" s="392">
        <f>+G117+J117+M117</f>
        <v>551.434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8.608</v>
      </c>
      <c r="G119" s="290">
        <f>+SUM(G117:G118)</f>
        <v>0.055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-273.452</v>
      </c>
      <c r="M119" s="290">
        <f>+SUM(M117:M118)</f>
        <v>551.379</v>
      </c>
      <c r="N119" s="512"/>
      <c r="O119" s="414">
        <f>+SUM(O117:O118)</f>
        <v>-264.844</v>
      </c>
      <c r="P119" s="415">
        <f>+SUM(P117:P118)</f>
        <v>551.434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8.608</v>
      </c>
      <c r="G121" s="301">
        <f>+G107+G111+G115+G119</f>
        <v>0.055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-273.452</v>
      </c>
      <c r="M121" s="301">
        <f>+M107+M111+M115+M119</f>
        <v>551.379</v>
      </c>
      <c r="N121" s="512"/>
      <c r="O121" s="418">
        <f>+O107+O111+O115+O119</f>
        <v>-264.844</v>
      </c>
      <c r="P121" s="425">
        <f>+P107+P111+P115+P119</f>
        <v>551.434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8109.457</v>
      </c>
      <c r="G124" s="296">
        <f>+'Cash-Flow-2017-Leva'!G124/1000</f>
        <v>7780.574</v>
      </c>
      <c r="H124" s="306"/>
      <c r="I124" s="297">
        <f>+'Cash-Flow-2017-Leva'!I124/1000</f>
        <v>-8109.457</v>
      </c>
      <c r="J124" s="296">
        <f>+'Cash-Flow-2017-Leva'!J124/1000</f>
        <v>-6341.584</v>
      </c>
      <c r="K124" s="306"/>
      <c r="L124" s="297">
        <f>+'Cash-Flow-2017-Leva'!L124/1000</f>
        <v>-448.729</v>
      </c>
      <c r="M124" s="296">
        <f>+'Cash-Flow-2017-Leva'!M124/1000</f>
        <v>95.343</v>
      </c>
      <c r="N124" s="512"/>
      <c r="O124" s="394">
        <f t="shared" si="8"/>
        <v>-448.729</v>
      </c>
      <c r="P124" s="417">
        <f t="shared" si="8"/>
        <v>1534.3329999999999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-739.825</v>
      </c>
      <c r="G125" s="296">
        <f>+'Cash-Flow-2017-Leva'!G125/1000</f>
        <v>7385.196</v>
      </c>
      <c r="H125" s="306"/>
      <c r="I125" s="297">
        <f>+'Cash-Flow-2017-Leva'!I125/1000</f>
        <v>288.813</v>
      </c>
      <c r="J125" s="296">
        <f>+'Cash-Flow-2017-Leva'!J125/1000</f>
        <v>-567.576</v>
      </c>
      <c r="K125" s="306"/>
      <c r="L125" s="297">
        <f>+'Cash-Flow-2017-Leva'!L125/1000</f>
        <v>0</v>
      </c>
      <c r="M125" s="296">
        <f>+'Cash-Flow-2017-Leva'!M125/1000</f>
        <v>173.95</v>
      </c>
      <c r="N125" s="512"/>
      <c r="O125" s="394">
        <f t="shared" si="8"/>
        <v>-451.01200000000006</v>
      </c>
      <c r="P125" s="417">
        <f t="shared" si="8"/>
        <v>6991.57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7369.6320000000005</v>
      </c>
      <c r="G127" s="299">
        <f>+SUM(G123:G126)</f>
        <v>15165.77</v>
      </c>
      <c r="H127" s="306"/>
      <c r="I127" s="300">
        <f>+SUM(I123:I126)</f>
        <v>-7820.644</v>
      </c>
      <c r="J127" s="299">
        <f>+SUM(J123:J126)</f>
        <v>-6909.16</v>
      </c>
      <c r="K127" s="306"/>
      <c r="L127" s="300">
        <f>+SUM(L123:L126)</f>
        <v>-448.729</v>
      </c>
      <c r="M127" s="299">
        <f>+SUM(M123:M126)</f>
        <v>269.293</v>
      </c>
      <c r="N127" s="512"/>
      <c r="O127" s="419">
        <f>+SUM(O123:O126)</f>
        <v>-899.741</v>
      </c>
      <c r="P127" s="420">
        <f>+SUM(P123:P126)</f>
        <v>8525.903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4409.841</v>
      </c>
      <c r="G129" s="284">
        <f>+'Cash-Flow-2017-Leva'!G129/1000</f>
        <v>396.83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23385.062</v>
      </c>
      <c r="M129" s="284">
        <f>+'Cash-Flow-2017-Leva'!M129/1000</f>
        <v>22564.39</v>
      </c>
      <c r="N129" s="512"/>
      <c r="O129" s="398">
        <f aca="true" t="shared" si="9" ref="O129:P131">+F129+I129+L129</f>
        <v>27794.903000000002</v>
      </c>
      <c r="P129" s="411">
        <f t="shared" si="9"/>
        <v>22961.22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1.998</v>
      </c>
      <c r="G130" s="296">
        <f>+'Cash-Flow-2017-Leva'!G130/1000</f>
        <v>2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1.998</v>
      </c>
      <c r="P130" s="417">
        <f t="shared" si="9"/>
        <v>2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4156.915</v>
      </c>
      <c r="G131" s="296">
        <f>+'Cash-Flow-2017-Leva'!G131/1000</f>
        <v>4409.841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22662.881</v>
      </c>
      <c r="M131" s="296">
        <f>+'Cash-Flow-2017-Leva'!M131/1000</f>
        <v>23385.062</v>
      </c>
      <c r="N131" s="512"/>
      <c r="O131" s="394">
        <f t="shared" si="9"/>
        <v>26819.796000000002</v>
      </c>
      <c r="P131" s="417">
        <f t="shared" si="9"/>
        <v>27794.903000000002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-254.92400000000038</v>
      </c>
      <c r="G132" s="304">
        <f>+G131-G129-G130</f>
        <v>4011.0110000000004</v>
      </c>
      <c r="H132" s="306"/>
      <c r="I132" s="305">
        <f>+I131-I129-I130</f>
        <v>0</v>
      </c>
      <c r="J132" s="304">
        <f>+J131-J129-J130</f>
        <v>0</v>
      </c>
      <c r="K132" s="306"/>
      <c r="L132" s="305">
        <f>+L131-L129-L130</f>
        <v>-722.1810000000005</v>
      </c>
      <c r="M132" s="304">
        <f>+M131-M129-M130</f>
        <v>820.6720000000023</v>
      </c>
      <c r="N132" s="512"/>
      <c r="O132" s="428">
        <f>+O131-O129-O130</f>
        <v>-977.105</v>
      </c>
      <c r="P132" s="429">
        <f>+P131-P129-P130</f>
        <v>4831.683000000001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2017-04-27T10:57:34Z</cp:lastPrinted>
  <dcterms:created xsi:type="dcterms:W3CDTF">2015-12-01T07:17:04Z</dcterms:created>
  <dcterms:modified xsi:type="dcterms:W3CDTF">2017-04-27T13:01:10Z</dcterms:modified>
  <cp:category/>
  <cp:version/>
  <cp:contentType/>
  <cp:contentStatus/>
</cp:coreProperties>
</file>