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<sst xmlns="http://schemas.openxmlformats.org/spreadsheetml/2006/main" count="548" uniqueCount="377">
  <si>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</si>
  <si>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</si>
  <si>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</si>
  <si>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</si>
  <si>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</si>
  <si>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</si>
  <si>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</si>
  <si>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</si>
  <si>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</si>
  <si>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</si>
  <si>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</si>
  <si>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</si>
  <si>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</si>
  <si>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</si>
  <si>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</si>
  <si>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</si>
  <si>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</si>
  <si>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</si>
  <si>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</si>
  <si>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</si>
  <si>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</si>
  <si>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</si>
  <si>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</si>
  <si>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</si>
  <si>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</si>
  <si>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</si>
  <si>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</si>
  <si>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</si>
  <si>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</si>
  <si>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</si>
  <si>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</si>
  <si>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</si>
  <si>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</si>
  <si>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</si>
  <si>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</si>
  <si>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</si>
  <si>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</si>
  <si>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</si>
  <si>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</si>
  <si>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</si>
  <si>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</si>
  <si>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</si>
  <si>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</si>
  <si>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</si>
  <si>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</si>
  <si>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</si>
  <si>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</si>
  <si>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</si>
  <si>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</si>
  <si>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</si>
  <si>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</si>
  <si>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</si>
  <si>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</si>
  <si>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</si>
  <si>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</si>
  <si>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</si>
  <si>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</si>
  <si>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</si>
  <si>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</si>
  <si>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</si>
  <si>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</si>
  <si>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</si>
  <si>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</si>
  <si>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</si>
  <si>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</si>
  <si>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</si>
  <si>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</si>
  <si>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</si>
  <si>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</si>
  <si>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</si>
  <si>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</si>
  <si>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</si>
  <si>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</si>
  <si>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</si>
  <si>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</si>
  <si>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</si>
  <si>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</si>
  <si>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</si>
  <si>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</si>
  <si>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</si>
  <si>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</si>
  <si>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</si>
  <si>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</si>
  <si>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</si>
  <si>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</si>
  <si>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</si>
  <si>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</si>
  <si>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</si>
  <si>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</si>
  <si>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</si>
  <si>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</si>
  <si>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</si>
  <si>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</si>
  <si>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</si>
  <si>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</si>
  <si>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</si>
  <si>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</si>
  <si>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</si>
  <si>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</si>
  <si>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</si>
  <si>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</si>
  <si>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</si>
  <si>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</si>
  <si>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</si>
  <si>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</si>
  <si>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</si>
  <si>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</si>
  <si>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</si>
  <si>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</si>
  <si>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</si>
  <si>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</si>
  <si>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</si>
  <si>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</si>
  <si>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</si>
  <si>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</si>
  <si>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</si>
  <si>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</si>
  <si>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</si>
  <si>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</si>
  <si>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</si>
  <si>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</si>
  <si>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</si>
  <si>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</si>
  <si>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</si>
  <si>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</si>
  <si>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</si>
  <si>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</si>
  <si>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</si>
  <si>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</si>
  <si>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</si>
  <si>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</si>
  <si>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</si>
  <si>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</si>
  <si>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</si>
  <si>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</si>
  <si>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</si>
  <si>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</si>
  <si>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</si>
  <si>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</si>
  <si>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</si>
  <si>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</si>
  <si>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</si>
  <si>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</si>
  <si>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</si>
  <si>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</si>
  <si>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</si>
  <si>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</si>
  <si>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</si>
  <si>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</si>
  <si>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</si>
  <si>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</si>
  <si>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</si>
  <si>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</si>
  <si>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</si>
  <si>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</si>
  <si>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</si>
  <si>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</si>
  <si>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</si>
  <si>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</si>
  <si>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</si>
  <si>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</si>
  <si>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</si>
  <si>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</si>
  <si>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</si>
  <si>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</si>
  <si>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</si>
  <si>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</si>
  <si>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</si>
  <si>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</si>
  <si>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</si>
  <si>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</si>
  <si>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</si>
  <si>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</si>
  <si>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</si>
  <si>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</si>
  <si>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</si>
  <si>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</si>
  <si>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</si>
  <si>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</si>
  <si>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</si>
  <si>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</si>
  <si>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</si>
  <si>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</si>
  <si>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</si>
  <si>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</si>
  <si>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</si>
  <si>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</si>
  <si>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</si>
  <si>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</si>
  <si>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</si>
  <si>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</si>
  <si>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</si>
  <si>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</si>
  <si>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</si>
  <si>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</si>
  <si>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</si>
  <si>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</si>
  <si>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</si>
  <si>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</si>
  <si>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</si>
  <si>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</si>
  <si>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</si>
  <si>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</si>
  <si>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</si>
  <si>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</si>
  <si>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</si>
  <si>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</si>
  <si>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</si>
  <si>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</si>
  <si>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</si>
  <si>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</si>
  <si>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</si>
  <si>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</si>
  <si>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</si>
  <si>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</si>
  <si>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</si>
  <si>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</si>
  <si>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</si>
  <si>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</si>
  <si>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</si>
  <si>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</si>
  <si>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</si>
  <si>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</si>
  <si>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</si>
  <si>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</si>
  <si>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</si>
  <si>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</si>
  <si>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</si>
  <si>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</si>
  <si>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</si>
  <si>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</si>
  <si>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</si>
  <si>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</si>
  <si>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</si>
  <si>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</si>
  <si>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</si>
  <si>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</si>
  <si>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</si>
  <si>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</si>
  <si>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</si>
  <si>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</si>
  <si>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</si>
  <si>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</si>
  <si>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</si>
  <si>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</si>
  <si>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</si>
  <si>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</si>
  <si>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</si>
  <si>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</si>
  <si>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</si>
  <si>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</si>
  <si>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</si>
  <si>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</si>
  <si>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</si>
  <si>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</si>
  <si>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</si>
  <si>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</si>
  <si>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</si>
  <si>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</si>
  <si>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</si>
  <si>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</si>
  <si>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</si>
  <si>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</si>
  <si>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</si>
  <si>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</si>
  <si>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</si>
  <si>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</si>
  <si>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</si>
  <si>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</si>
  <si>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</si>
  <si>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</si>
  <si>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</si>
  <si>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</si>
  <si>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</si>
  <si>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</si>
  <si>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</si>
  <si>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</si>
  <si>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</si>
  <si>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</si>
  <si>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</si>
  <si>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</si>
  <si>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</si>
  <si>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</si>
  <si>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</si>
  <si>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</si>
  <si>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</si>
  <si>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</si>
  <si>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</si>
  <si>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</si>
  <si>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</si>
  <si>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</si>
  <si>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</si>
  <si>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</si>
  <si>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</si>
  <si>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</si>
  <si>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</si>
  <si>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</si>
  <si>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</si>
  <si>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</si>
  <si>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</si>
  <si>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</si>
  <si>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</si>
  <si>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</si>
  <si>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</si>
  <si>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</si>
  <si>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</si>
  <si>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</si>
  <si>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</si>
  <si>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</si>
  <si>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</si>
  <si>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</si>
  <si>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</si>
  <si>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</si>
  <si>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</si>
  <si>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</si>
  <si>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</si>
  <si>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</si>
  <si>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</si>
  <si>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</si>
  <si>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</si>
  <si>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</si>
  <si>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</si>
  <si>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</si>
  <si>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</si>
  <si>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</si>
  <si>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</si>
  <si>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</si>
  <si>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</si>
  <si>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</si>
  <si>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</si>
  <si>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</si>
  <si>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</si>
  <si>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</si>
  <si>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</si>
  <si>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</si>
  <si>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</si>
  <si>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</si>
  <si>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</si>
  <si>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</si>
  <si>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</si>
  <si>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</si>
  <si>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</si>
  <si>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</si>
  <si>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</si>
  <si>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</si>
  <si>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</si>
  <si>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</si>
  <si>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</si>
  <si>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</si>
  <si>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</si>
  <si>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</si>
  <si>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</si>
  <si>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</si>
  <si>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</si>
  <si>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</si>
  <si>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</si>
  <si>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</si>
  <si>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</si>
  <si>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</si>
  <si>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</si>
  <si>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</si>
  <si>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</si>
  <si>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</si>
  <si>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</si>
  <si>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</si>
  <si>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</si>
  <si>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</si>
  <si>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</si>
  <si>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</si>
  <si>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</si>
  <si>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</si>
  <si>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</si>
  <si>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</si>
  <si>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МИНИСТЕРСКИ СЪВЕТ</t>
  </si>
  <si>
    <t>www.government.bg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</si>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</sst>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4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2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21" fillId="32" borderId="21" xfId="57" applyNumberFormat="1" applyFont="1" applyFill="1" applyBorder="1" applyAlignment="1">
      <alignment horizontal="center"/>
      <protection/>
    </xf>
    <xf numFmtId="177" fontId="28" fillId="38" borderId="0" xfId="57" applyNumberFormat="1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79" fontId="16" fillId="32" borderId="22" xfId="57" applyNumberFormat="1" applyFont="1" applyFill="1" applyBorder="1" applyAlignment="1">
      <alignment horizontal="left"/>
      <protection/>
    </xf>
    <xf numFmtId="179" fontId="16" fillId="32" borderId="21" xfId="57" applyNumberFormat="1" applyFont="1" applyFill="1" applyBorder="1" applyAlignment="1">
      <alignment horizontal="left"/>
      <protection/>
    </xf>
    <xf numFmtId="177" fontId="28" fillId="32" borderId="0" xfId="57" applyNumberFormat="1" applyFont="1" applyFill="1" applyBorder="1">
      <alignment/>
      <protection/>
    </xf>
    <xf numFmtId="177" fontId="28" fillId="32" borderId="19" xfId="57" applyNumberFormat="1" applyFont="1" applyFill="1" applyBorder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6" fontId="28" fillId="32" borderId="19" xfId="57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22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152" fillId="40" borderId="28" xfId="57" applyFont="1" applyFill="1" applyBorder="1">
      <alignment/>
      <protection/>
    </xf>
    <xf numFmtId="0" fontId="152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3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22" fillId="33" borderId="0" xfId="64" applyNumberFormat="1" applyFont="1" applyFill="1" applyBorder="1" applyAlignment="1" applyProtection="1">
      <alignment/>
      <protection/>
    </xf>
    <xf numFmtId="38" fontId="22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22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64" applyNumberFormat="1" applyFont="1" applyFill="1" applyBorder="1" applyAlignment="1" applyProtection="1">
      <alignment/>
      <protection/>
    </xf>
    <xf numFmtId="38" fontId="22" fillId="45" borderId="47" xfId="64" applyNumberFormat="1" applyFont="1" applyFill="1" applyBorder="1" applyAlignment="1" applyProtection="1">
      <alignment/>
      <protection/>
    </xf>
    <xf numFmtId="38" fontId="22" fillId="45" borderId="48" xfId="64" applyNumberFormat="1" applyFont="1" applyFill="1" applyBorder="1" applyAlignment="1" applyProtection="1">
      <alignment/>
      <protection/>
    </xf>
    <xf numFmtId="38" fontId="22" fillId="46" borderId="46" xfId="64" applyNumberFormat="1" applyFont="1" applyFill="1" applyBorder="1" applyAlignment="1" applyProtection="1">
      <alignment/>
      <protection/>
    </xf>
    <xf numFmtId="38" fontId="22" fillId="46" borderId="47" xfId="64" applyNumberFormat="1" applyFont="1" applyFill="1" applyBorder="1" applyAlignment="1" applyProtection="1">
      <alignment/>
      <protection/>
    </xf>
    <xf numFmtId="38" fontId="22" fillId="46" borderId="48" xfId="64" applyNumberFormat="1" applyFont="1" applyFill="1" applyBorder="1" applyAlignment="1" applyProtection="1">
      <alignment/>
      <protection/>
    </xf>
    <xf numFmtId="38" fontId="22" fillId="33" borderId="49" xfId="64" applyNumberFormat="1" applyFont="1" applyFill="1" applyBorder="1" applyAlignment="1" applyProtection="1">
      <alignment/>
      <protection/>
    </xf>
    <xf numFmtId="38" fontId="22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64" applyNumberFormat="1" applyFont="1" applyFill="1" applyBorder="1" applyAlignment="1" applyProtection="1">
      <alignment/>
      <protection/>
    </xf>
    <xf numFmtId="38" fontId="28" fillId="44" borderId="58" xfId="64" applyNumberFormat="1" applyFont="1" applyFill="1" applyBorder="1" applyAlignment="1" applyProtection="1">
      <alignment/>
      <protection/>
    </xf>
    <xf numFmtId="38" fontId="28" fillId="44" borderId="51" xfId="64" applyNumberFormat="1" applyFont="1" applyFill="1" applyBorder="1" applyAlignment="1" applyProtection="1">
      <alignment/>
      <protection/>
    </xf>
    <xf numFmtId="38" fontId="28" fillId="44" borderId="52" xfId="64" applyNumberFormat="1" applyFont="1" applyFill="1" applyBorder="1" applyAlignment="1" applyProtection="1">
      <alignment/>
      <protection/>
    </xf>
    <xf numFmtId="38" fontId="28" fillId="44" borderId="53" xfId="64" applyNumberFormat="1" applyFont="1" applyFill="1" applyBorder="1" applyAlignment="1" applyProtection="1">
      <alignment/>
      <protection/>
    </xf>
    <xf numFmtId="38" fontId="28" fillId="44" borderId="54" xfId="64" applyNumberFormat="1" applyFont="1" applyFill="1" applyBorder="1" applyAlignment="1" applyProtection="1">
      <alignment/>
      <protection/>
    </xf>
    <xf numFmtId="38" fontId="22" fillId="33" borderId="59" xfId="64" applyNumberFormat="1" applyFont="1" applyFill="1" applyBorder="1" applyAlignment="1" applyProtection="1">
      <alignment/>
      <protection/>
    </xf>
    <xf numFmtId="38" fontId="22" fillId="33" borderId="22" xfId="64" applyNumberFormat="1" applyFont="1" applyFill="1" applyBorder="1" applyAlignment="1" applyProtection="1">
      <alignment/>
      <protection/>
    </xf>
    <xf numFmtId="38" fontId="22" fillId="33" borderId="56" xfId="64" applyNumberFormat="1" applyFont="1" applyFill="1" applyBorder="1" applyAlignment="1" applyProtection="1">
      <alignment/>
      <protection/>
    </xf>
    <xf numFmtId="38" fontId="28" fillId="44" borderId="47" xfId="64" applyNumberFormat="1" applyFont="1" applyFill="1" applyBorder="1" applyAlignment="1" applyProtection="1">
      <alignment/>
      <protection/>
    </xf>
    <xf numFmtId="38" fontId="28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22" fillId="33" borderId="66" xfId="64" applyNumberFormat="1" applyFont="1" applyFill="1" applyBorder="1" applyAlignment="1" applyProtection="1">
      <alignment/>
      <protection/>
    </xf>
    <xf numFmtId="38" fontId="22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22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8" fillId="44" borderId="55" xfId="64" applyNumberFormat="1" applyFont="1" applyFill="1" applyBorder="1" applyAlignment="1" applyProtection="1">
      <alignment/>
      <protection/>
    </xf>
    <xf numFmtId="38" fontId="28" fillId="44" borderId="63" xfId="64" applyNumberFormat="1" applyFont="1" applyFill="1" applyBorder="1" applyAlignment="1" applyProtection="1">
      <alignment/>
      <protection/>
    </xf>
    <xf numFmtId="38" fontId="28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63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22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22" fillId="44" borderId="59" xfId="64" applyNumberFormat="1" applyFont="1" applyFill="1" applyBorder="1" applyAlignment="1" applyProtection="1">
      <alignment horizontal="center"/>
      <protection/>
    </xf>
    <xf numFmtId="38" fontId="22" fillId="44" borderId="22" xfId="64" applyNumberFormat="1" applyFont="1" applyFill="1" applyBorder="1" applyAlignment="1" applyProtection="1">
      <alignment horizontal="center"/>
      <protection/>
    </xf>
    <xf numFmtId="38" fontId="22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8" fillId="44" borderId="46" xfId="64" applyNumberFormat="1" applyFont="1" applyFill="1" applyBorder="1" applyAlignment="1" applyProtection="1">
      <alignment horizontal="center"/>
      <protection/>
    </xf>
    <xf numFmtId="38" fontId="28" fillId="44" borderId="47" xfId="64" applyNumberFormat="1" applyFont="1" applyFill="1" applyBorder="1" applyAlignment="1" applyProtection="1">
      <alignment horizontal="center"/>
      <protection/>
    </xf>
    <xf numFmtId="38" fontId="28" fillId="44" borderId="48" xfId="64" applyNumberFormat="1" applyFont="1" applyFill="1" applyBorder="1" applyAlignment="1" applyProtection="1">
      <alignment horizontal="center"/>
      <protection/>
    </xf>
    <xf numFmtId="38" fontId="22" fillId="33" borderId="59" xfId="64" applyNumberFormat="1" applyFont="1" applyFill="1" applyBorder="1" applyAlignment="1" applyProtection="1">
      <alignment horizontal="center"/>
      <protection/>
    </xf>
    <xf numFmtId="38" fontId="22" fillId="33" borderId="22" xfId="64" applyNumberFormat="1" applyFont="1" applyFill="1" applyBorder="1" applyAlignment="1" applyProtection="1">
      <alignment horizontal="center"/>
      <protection/>
    </xf>
    <xf numFmtId="38" fontId="22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22" fillId="33" borderId="66" xfId="64" applyNumberFormat="1" applyFont="1" applyFill="1" applyBorder="1" applyAlignment="1" applyProtection="1">
      <alignment horizontal="left"/>
      <protection/>
    </xf>
    <xf numFmtId="38" fontId="22" fillId="33" borderId="49" xfId="64" applyNumberFormat="1" applyFont="1" applyFill="1" applyBorder="1" applyAlignment="1" applyProtection="1">
      <alignment horizontal="left"/>
      <protection/>
    </xf>
    <xf numFmtId="38" fontId="22" fillId="33" borderId="50" xfId="64" applyNumberFormat="1" applyFont="1" applyFill="1" applyBorder="1" applyAlignment="1" applyProtection="1">
      <alignment horizontal="left"/>
      <protection/>
    </xf>
    <xf numFmtId="38" fontId="22" fillId="33" borderId="65" xfId="64" applyNumberFormat="1" applyFont="1" applyFill="1" applyBorder="1" applyAlignment="1" applyProtection="1">
      <alignment horizontal="left"/>
      <protection/>
    </xf>
    <xf numFmtId="38" fontId="22" fillId="33" borderId="34" xfId="64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8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9" fillId="49" borderId="0" xfId="61" applyFont="1" applyFill="1" applyBorder="1" applyAlignment="1" applyProtection="1">
      <alignment horizontal="center"/>
      <protection/>
    </xf>
    <xf numFmtId="174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22" fillId="45" borderId="0" xfId="64" applyNumberFormat="1" applyFont="1" applyFill="1" applyBorder="1" applyAlignment="1" applyProtection="1">
      <alignment/>
      <protection/>
    </xf>
    <xf numFmtId="0" fontId="170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70" fillId="35" borderId="0" xfId="63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72" fontId="61" fillId="50" borderId="31" xfId="63" applyNumberFormat="1" applyFont="1" applyFill="1" applyBorder="1" applyAlignment="1" applyProtection="1">
      <alignment horizontal="center" vertical="center"/>
      <protection locked="0"/>
    </xf>
    <xf numFmtId="174" fontId="150" fillId="32" borderId="0" xfId="64" applyNumberFormat="1" applyFont="1" applyFill="1" applyAlignment="1" applyProtection="1">
      <alignment/>
      <protection/>
    </xf>
    <xf numFmtId="0" fontId="153" fillId="35" borderId="0" xfId="63" applyFont="1" applyFill="1" applyBorder="1" applyProtection="1">
      <alignment/>
      <protection/>
    </xf>
    <xf numFmtId="0" fontId="171" fillId="35" borderId="0" xfId="63" applyFont="1" applyFill="1" applyBorder="1" applyProtection="1">
      <alignment/>
      <protection/>
    </xf>
    <xf numFmtId="0" fontId="171" fillId="35" borderId="0" xfId="63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20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20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32" borderId="49" xfId="0" applyFont="1" applyFill="1" applyBorder="1" applyAlignment="1" applyProtection="1">
      <alignment horizontal="center"/>
      <protection locked="0"/>
    </xf>
    <xf numFmtId="172" fontId="174" fillId="33" borderId="31" xfId="63" applyNumberFormat="1" applyFont="1" applyFill="1" applyBorder="1" applyAlignment="1" applyProtection="1">
      <alignment horizontal="center" vertical="center"/>
      <protection/>
    </xf>
    <xf numFmtId="172" fontId="175" fillId="33" borderId="31" xfId="63" applyNumberFormat="1" applyFont="1" applyFill="1" applyBorder="1" applyAlignment="1" applyProtection="1">
      <alignment horizontal="center" vertical="center"/>
      <protection/>
    </xf>
    <xf numFmtId="0" fontId="16" fillId="33" borderId="31" xfId="63" applyNumberFormat="1" applyFont="1" applyFill="1" applyBorder="1" applyAlignment="1" applyProtection="1">
      <alignment horizontal="center" vertical="center"/>
      <protection/>
    </xf>
    <xf numFmtId="0" fontId="16" fillId="38" borderId="31" xfId="63" applyNumberFormat="1" applyFont="1" applyFill="1" applyBorder="1" applyAlignment="1" applyProtection="1">
      <alignment horizontal="center" vertical="center"/>
      <protection locked="0"/>
    </xf>
    <xf numFmtId="38" fontId="19" fillId="33" borderId="64" xfId="64" applyNumberFormat="1" applyFont="1" applyFill="1" applyBorder="1" applyAlignment="1" applyProtection="1">
      <alignment/>
      <protection/>
    </xf>
    <xf numFmtId="38" fontId="19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9" xfId="0" applyNumberFormat="1" applyFont="1" applyFill="1" applyBorder="1" applyAlignment="1" applyProtection="1" quotePrefix="1">
      <alignment/>
      <protection/>
    </xf>
    <xf numFmtId="174" fontId="177" fillId="32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63" applyFont="1" applyFill="1" applyBorder="1" applyProtection="1">
      <alignment/>
      <protection/>
    </xf>
    <xf numFmtId="0" fontId="39" fillId="33" borderId="47" xfId="63" applyFont="1" applyFill="1" applyBorder="1" applyProtection="1">
      <alignment/>
      <protection/>
    </xf>
    <xf numFmtId="0" fontId="39" fillId="33" borderId="33" xfId="63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8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83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32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32" borderId="72" xfId="57" applyFont="1" applyFill="1" applyBorder="1">
      <alignment/>
      <protection/>
    </xf>
    <xf numFmtId="0" fontId="26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26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4" fillId="32" borderId="17" xfId="57" applyFont="1" applyFill="1" applyBorder="1">
      <alignment/>
      <protection/>
    </xf>
    <xf numFmtId="0" fontId="154" fillId="32" borderId="30" xfId="57" applyFont="1" applyFill="1" applyBorder="1">
      <alignment/>
      <protection/>
    </xf>
    <xf numFmtId="0" fontId="26" fillId="32" borderId="19" xfId="57" applyFont="1" applyFill="1" applyBorder="1">
      <alignment/>
      <protection/>
    </xf>
    <xf numFmtId="0" fontId="154" fillId="32" borderId="72" xfId="57" applyFont="1" applyFill="1" applyBorder="1" quotePrefix="1">
      <alignment/>
      <protection/>
    </xf>
    <xf numFmtId="0" fontId="154" fillId="32" borderId="17" xfId="57" applyFont="1" applyFill="1" applyBorder="1" quotePrefix="1">
      <alignment/>
      <protection/>
    </xf>
    <xf numFmtId="176" fontId="32" fillId="53" borderId="0" xfId="57" applyNumberFormat="1" applyFont="1" applyFill="1" applyBorder="1" applyAlignment="1">
      <alignment horizontal="center"/>
      <protection/>
    </xf>
    <xf numFmtId="179" fontId="32" fillId="53" borderId="0" xfId="57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6" fontId="28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8" fillId="33" borderId="0" xfId="57" applyNumberFormat="1" applyFont="1" applyFill="1" applyBorder="1" applyAlignment="1">
      <alignment/>
      <protection/>
    </xf>
    <xf numFmtId="179" fontId="28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0" fontId="16" fillId="32" borderId="72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18" xfId="57" applyFont="1" applyFill="1" applyBorder="1">
      <alignment/>
      <protection/>
    </xf>
    <xf numFmtId="0" fontId="16" fillId="32" borderId="30" xfId="57" applyFont="1" applyFill="1" applyBorder="1">
      <alignment/>
      <protection/>
    </xf>
    <xf numFmtId="0" fontId="16" fillId="38" borderId="19" xfId="57" applyFont="1" applyFill="1" applyBorder="1">
      <alignment/>
      <protection/>
    </xf>
    <xf numFmtId="0" fontId="16" fillId="38" borderId="15" xfId="57" applyFont="1" applyFill="1" applyBorder="1">
      <alignment/>
      <protection/>
    </xf>
    <xf numFmtId="0" fontId="16" fillId="37" borderId="0" xfId="57" applyFont="1" applyFill="1">
      <alignment/>
      <protection/>
    </xf>
    <xf numFmtId="176" fontId="28" fillId="32" borderId="0" xfId="57" applyNumberFormat="1" applyFont="1" applyFill="1" applyBorder="1" applyAlignment="1">
      <alignment horizontal="center"/>
      <protection/>
    </xf>
    <xf numFmtId="178" fontId="28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8" fillId="33" borderId="0" xfId="57" applyNumberFormat="1" applyFont="1" applyFill="1" applyBorder="1" applyAlignment="1">
      <alignment horizontal="center"/>
      <protection/>
    </xf>
    <xf numFmtId="178" fontId="28" fillId="38" borderId="0" xfId="57" applyNumberFormat="1" applyFont="1" applyFill="1" applyBorder="1" applyAlignment="1">
      <alignment horizontal="center"/>
      <protection/>
    </xf>
    <xf numFmtId="193" fontId="150" fillId="40" borderId="28" xfId="58" applyNumberFormat="1" applyFont="1" applyFill="1" applyBorder="1" applyAlignment="1">
      <alignment horizontal="center"/>
      <protection/>
    </xf>
    <xf numFmtId="179" fontId="28" fillId="32" borderId="0" xfId="57" applyNumberFormat="1" applyFont="1" applyFill="1" applyBorder="1" applyAlignment="1">
      <alignment horizontal="center"/>
      <protection/>
    </xf>
    <xf numFmtId="179" fontId="28" fillId="33" borderId="0" xfId="57" applyNumberFormat="1" applyFont="1" applyFill="1" applyBorder="1" applyAlignment="1">
      <alignment horizontal="center"/>
      <protection/>
    </xf>
    <xf numFmtId="177" fontId="28" fillId="53" borderId="0" xfId="57" applyNumberFormat="1" applyFont="1" applyFill="1" applyBorder="1" applyAlignment="1">
      <alignment horizontal="center"/>
      <protection/>
    </xf>
    <xf numFmtId="38" fontId="183" fillId="44" borderId="46" xfId="64" applyNumberFormat="1" applyFont="1" applyFill="1" applyBorder="1" applyAlignment="1" applyProtection="1">
      <alignment horizontal="center"/>
      <protection/>
    </xf>
    <xf numFmtId="38" fontId="183" fillId="44" borderId="47" xfId="64" applyNumberFormat="1" applyFont="1" applyFill="1" applyBorder="1" applyAlignment="1" applyProtection="1">
      <alignment horizontal="center"/>
      <protection/>
    </xf>
    <xf numFmtId="38" fontId="183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 locked="0"/>
    </xf>
    <xf numFmtId="186" fontId="184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22" fillId="46" borderId="46" xfId="64" applyNumberFormat="1" applyFont="1" applyFill="1" applyBorder="1" applyAlignment="1" applyProtection="1">
      <alignment horizontal="center"/>
      <protection/>
    </xf>
    <xf numFmtId="38" fontId="22" fillId="46" borderId="47" xfId="64" applyNumberFormat="1" applyFont="1" applyFill="1" applyBorder="1" applyAlignment="1" applyProtection="1">
      <alignment horizontal="center"/>
      <protection/>
    </xf>
    <xf numFmtId="38" fontId="22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16" fillId="33" borderId="64" xfId="64" applyNumberFormat="1" applyFont="1" applyFill="1" applyBorder="1" applyAlignment="1" applyProtection="1">
      <alignment horizontal="center"/>
      <protection/>
    </xf>
    <xf numFmtId="38" fontId="16" fillId="33" borderId="53" xfId="64" applyNumberFormat="1" applyFont="1" applyFill="1" applyBorder="1" applyAlignment="1" applyProtection="1">
      <alignment horizontal="center"/>
      <protection/>
    </xf>
    <xf numFmtId="38" fontId="16" fillId="33" borderId="54" xfId="64" applyNumberFormat="1" applyFont="1" applyFill="1" applyBorder="1" applyAlignment="1" applyProtection="1">
      <alignment horizontal="center"/>
      <protection/>
    </xf>
    <xf numFmtId="38" fontId="51" fillId="33" borderId="66" xfId="64" applyNumberFormat="1" applyFont="1" applyFill="1" applyBorder="1" applyAlignment="1" applyProtection="1">
      <alignment horizontal="center"/>
      <protection/>
    </xf>
    <xf numFmtId="38" fontId="51" fillId="33" borderId="49" xfId="64" applyNumberFormat="1" applyFont="1" applyFill="1" applyBorder="1" applyAlignment="1" applyProtection="1">
      <alignment horizontal="center"/>
      <protection/>
    </xf>
    <xf numFmtId="38" fontId="51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63" fillId="47" borderId="69" xfId="64" applyNumberFormat="1" applyFont="1" applyFill="1" applyBorder="1" applyAlignment="1" applyProtection="1">
      <alignment horizontal="center"/>
      <protection/>
    </xf>
    <xf numFmtId="38" fontId="163" fillId="47" borderId="19" xfId="64" applyNumberFormat="1" applyFont="1" applyFill="1" applyBorder="1" applyAlignment="1" applyProtection="1">
      <alignment horizontal="center"/>
      <protection/>
    </xf>
    <xf numFmtId="38" fontId="163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8" fillId="44" borderId="55" xfId="64" applyNumberFormat="1" applyFont="1" applyFill="1" applyBorder="1" applyAlignment="1" applyProtection="1">
      <alignment horizontal="center"/>
      <protection/>
    </xf>
    <xf numFmtId="38" fontId="28" fillId="44" borderId="57" xfId="64" applyNumberFormat="1" applyFont="1" applyFill="1" applyBorder="1" applyAlignment="1" applyProtection="1">
      <alignment horizontal="center"/>
      <protection/>
    </xf>
    <xf numFmtId="38" fontId="28" fillId="44" borderId="58" xfId="64" applyNumberFormat="1" applyFont="1" applyFill="1" applyBorder="1" applyAlignment="1" applyProtection="1">
      <alignment horizontal="center"/>
      <protection/>
    </xf>
    <xf numFmtId="38" fontId="28" fillId="44" borderId="63" xfId="64" applyNumberFormat="1" applyFont="1" applyFill="1" applyBorder="1" applyAlignment="1" applyProtection="1">
      <alignment horizontal="center"/>
      <protection/>
    </xf>
    <xf numFmtId="38" fontId="28" fillId="44" borderId="51" xfId="64" applyNumberFormat="1" applyFont="1" applyFill="1" applyBorder="1" applyAlignment="1" applyProtection="1">
      <alignment horizontal="center"/>
      <protection/>
    </xf>
    <xf numFmtId="38" fontId="28" fillId="44" borderId="52" xfId="64" applyNumberFormat="1" applyFont="1" applyFill="1" applyBorder="1" applyAlignment="1" applyProtection="1">
      <alignment horizontal="center"/>
      <protection/>
    </xf>
    <xf numFmtId="38" fontId="28" fillId="44" borderId="64" xfId="64" applyNumberFormat="1" applyFont="1" applyFill="1" applyBorder="1" applyAlignment="1" applyProtection="1">
      <alignment horizontal="center"/>
      <protection/>
    </xf>
    <xf numFmtId="38" fontId="28" fillId="44" borderId="53" xfId="64" applyNumberFormat="1" applyFont="1" applyFill="1" applyBorder="1" applyAlignment="1" applyProtection="1">
      <alignment horizontal="center"/>
      <protection/>
    </xf>
    <xf numFmtId="38" fontId="28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8" fillId="54" borderId="46" xfId="64" applyNumberFormat="1" applyFont="1" applyFill="1" applyBorder="1" applyAlignment="1" applyProtection="1">
      <alignment horizontal="center"/>
      <protection/>
    </xf>
    <xf numFmtId="38" fontId="28" fillId="54" borderId="47" xfId="64" applyNumberFormat="1" applyFont="1" applyFill="1" applyBorder="1" applyAlignment="1" applyProtection="1">
      <alignment horizontal="center"/>
      <protection/>
    </xf>
    <xf numFmtId="38" fontId="28" fillId="54" borderId="48" xfId="64" applyNumberFormat="1" applyFont="1" applyFill="1" applyBorder="1" applyAlignment="1" applyProtection="1">
      <alignment horizontal="center"/>
      <protection/>
    </xf>
    <xf numFmtId="0" fontId="185" fillId="32" borderId="0" xfId="60" applyFont="1" applyFill="1" applyBorder="1" applyAlignment="1" applyProtection="1">
      <alignment horizontal="center"/>
      <protection/>
    </xf>
    <xf numFmtId="185" fontId="160" fillId="33" borderId="32" xfId="60" applyNumberFormat="1" applyFont="1" applyFill="1" applyBorder="1" applyAlignment="1" applyProtection="1">
      <alignment horizontal="center"/>
      <protection/>
    </xf>
    <xf numFmtId="185" fontId="160" fillId="33" borderId="47" xfId="60" applyNumberFormat="1" applyFont="1" applyFill="1" applyBorder="1" applyAlignment="1" applyProtection="1">
      <alignment horizontal="center"/>
      <protection/>
    </xf>
    <xf numFmtId="185" fontId="160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8" fillId="50" borderId="17" xfId="63" applyFont="1" applyFill="1" applyBorder="1" applyAlignment="1" applyProtection="1">
      <alignment horizontal="center" vertical="top"/>
      <protection/>
    </xf>
    <xf numFmtId="0" fontId="18" fillId="50" borderId="0" xfId="63" applyFont="1" applyFill="1" applyBorder="1" applyAlignment="1" applyProtection="1">
      <alignment horizontal="center" vertical="top"/>
      <protection/>
    </xf>
    <xf numFmtId="0" fontId="18" fillId="50" borderId="18" xfId="63" applyFont="1" applyFill="1" applyBorder="1" applyAlignment="1" applyProtection="1">
      <alignment horizontal="center" vertical="top"/>
      <protection/>
    </xf>
    <xf numFmtId="185" fontId="186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187" fontId="150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32" xfId="53" applyFill="1" applyBorder="1" applyAlignment="1" applyProtection="1">
      <alignment horizontal="center" vertical="center"/>
      <protection locked="0"/>
    </xf>
    <xf numFmtId="0" fontId="187" fillId="36" borderId="47" xfId="53" applyFont="1" applyFill="1" applyBorder="1" applyAlignment="1" applyProtection="1">
      <alignment horizontal="center" vertical="center"/>
      <protection locked="0"/>
    </xf>
    <xf numFmtId="0" fontId="187" fillId="36" borderId="33" xfId="53" applyFont="1" applyFill="1" applyBorder="1" applyAlignment="1" applyProtection="1">
      <alignment horizontal="center" vertical="center"/>
      <protection locked="0"/>
    </xf>
    <xf numFmtId="38" fontId="142" fillId="33" borderId="32" xfId="53" applyNumberFormat="1" applyFill="1" applyBorder="1" applyAlignment="1" applyProtection="1">
      <alignment horizontal="center" vertical="center"/>
      <protection locked="0"/>
    </xf>
    <xf numFmtId="38" fontId="188" fillId="33" borderId="47" xfId="53" applyNumberFormat="1" applyFont="1" applyFill="1" applyBorder="1" applyAlignment="1" applyProtection="1">
      <alignment horizontal="center" vertical="center"/>
      <protection locked="0"/>
    </xf>
    <xf numFmtId="38" fontId="188" fillId="33" borderId="33" xfId="53" applyNumberFormat="1" applyFont="1" applyFill="1" applyBorder="1" applyAlignment="1" applyProtection="1">
      <alignment horizontal="center" vertical="center"/>
      <protection locked="0"/>
    </xf>
    <xf numFmtId="0" fontId="59" fillId="50" borderId="124" xfId="63" applyFont="1" applyFill="1" applyBorder="1" applyAlignment="1" applyProtection="1" quotePrefix="1">
      <alignment horizontal="center" wrapText="1"/>
      <protection locked="0"/>
    </xf>
    <xf numFmtId="0" fontId="59" fillId="50" borderId="57" xfId="63" applyFont="1" applyFill="1" applyBorder="1" applyAlignment="1" applyProtection="1">
      <alignment horizontal="center" wrapText="1"/>
      <protection locked="0"/>
    </xf>
    <xf numFmtId="0" fontId="59" fillId="50" borderId="125" xfId="63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9" fillId="32" borderId="49" xfId="57" applyFont="1" applyFill="1" applyBorder="1" applyAlignment="1" applyProtection="1" quotePrefix="1">
      <alignment horizontal="center"/>
      <protection/>
    </xf>
    <xf numFmtId="0" fontId="190" fillId="38" borderId="30" xfId="63" applyFont="1" applyFill="1" applyBorder="1" applyAlignment="1" applyProtection="1">
      <alignment horizontal="center" vertical="center" wrapText="1"/>
      <protection locked="0"/>
    </xf>
    <xf numFmtId="0" fontId="190" fillId="38" borderId="19" xfId="63" applyFont="1" applyFill="1" applyBorder="1" applyAlignment="1" applyProtection="1">
      <alignment horizontal="center" vertical="center" wrapText="1"/>
      <protection locked="0"/>
    </xf>
    <xf numFmtId="0" fontId="190" fillId="38" borderId="20" xfId="63" applyFont="1" applyFill="1" applyBorder="1" applyAlignment="1" applyProtection="1">
      <alignment horizontal="center" vertical="center" wrapText="1"/>
      <protection locked="0"/>
    </xf>
    <xf numFmtId="0" fontId="191" fillId="33" borderId="65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4" xfId="61" applyFont="1" applyFill="1" applyBorder="1" applyAlignment="1" applyProtection="1">
      <alignment horizontal="center"/>
      <protection/>
    </xf>
    <xf numFmtId="0" fontId="169" fillId="49" borderId="119" xfId="61" applyFont="1" applyFill="1" applyBorder="1" applyAlignment="1" applyProtection="1">
      <alignment horizontal="center"/>
      <protection/>
    </xf>
    <xf numFmtId="0" fontId="34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6" fillId="33" borderId="0" xfId="60" applyNumberFormat="1" applyFont="1" applyFill="1" applyBorder="1" applyAlignment="1" applyProtection="1">
      <alignment horizontal="center"/>
      <protection/>
    </xf>
    <xf numFmtId="0" fontId="189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91" fillId="33" borderId="119" xfId="61" applyFont="1" applyFill="1" applyBorder="1" applyAlignment="1" applyProtection="1">
      <alignment horizontal="center"/>
      <protection/>
    </xf>
    <xf numFmtId="0" fontId="191" fillId="33" borderId="126" xfId="61" applyFont="1" applyFill="1" applyBorder="1" applyAlignment="1" applyProtection="1">
      <alignment horizontal="center"/>
      <protection/>
    </xf>
    <xf numFmtId="0" fontId="22" fillId="36" borderId="124" xfId="63" applyFont="1" applyFill="1" applyBorder="1" applyAlignment="1" applyProtection="1" quotePrefix="1">
      <alignment horizontal="center" wrapText="1"/>
      <protection/>
    </xf>
    <xf numFmtId="0" fontId="22" fillId="36" borderId="57" xfId="63" applyFont="1" applyFill="1" applyBorder="1" applyAlignment="1" applyProtection="1">
      <alignment horizontal="center" wrapText="1"/>
      <protection/>
    </xf>
    <xf numFmtId="0" fontId="22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4" fillId="46" borderId="32" xfId="57" applyNumberFormat="1" applyFont="1" applyFill="1" applyBorder="1" applyAlignment="1" applyProtection="1">
      <alignment horizontal="center" vertical="center"/>
      <protection/>
    </xf>
    <xf numFmtId="186" fontId="184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62" fillId="33" borderId="30" xfId="63" applyFont="1" applyFill="1" applyBorder="1" applyAlignment="1" applyProtection="1">
      <alignment horizontal="center" vertical="center" wrapText="1"/>
      <protection/>
    </xf>
    <xf numFmtId="0" fontId="62" fillId="33" borderId="19" xfId="63" applyFont="1" applyFill="1" applyBorder="1" applyAlignment="1" applyProtection="1">
      <alignment horizontal="center" vertical="center" wrapText="1"/>
      <protection/>
    </xf>
    <xf numFmtId="0" fontId="62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92" fillId="36" borderId="32" xfId="53" applyFont="1" applyFill="1" applyBorder="1" applyAlignment="1" applyProtection="1">
      <alignment horizontal="center" vertical="center"/>
      <protection/>
    </xf>
    <xf numFmtId="0" fontId="192" fillId="36" borderId="47" xfId="53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8">
        <f>+H7-1</f>
        <v>2017</v>
      </c>
      <c r="H46" s="578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0" sqref="G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>
        <v>695025</v>
      </c>
      <c r="J1" s="655"/>
      <c r="K1" s="444"/>
      <c r="L1" s="452" t="s">
        <v>254</v>
      </c>
      <c r="M1" s="448">
        <v>300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 t="s">
        <v>374</v>
      </c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МИНИСТЕРСКИ СЪВЕТ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292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96456</v>
      </c>
      <c r="G16" s="249">
        <v>501135</v>
      </c>
      <c r="H16" s="15"/>
      <c r="I16" s="250"/>
      <c r="J16" s="249"/>
      <c r="K16" s="243"/>
      <c r="L16" s="250"/>
      <c r="M16" s="249"/>
      <c r="N16" s="243"/>
      <c r="O16" s="378">
        <f t="shared" si="0"/>
        <v>96456</v>
      </c>
      <c r="P16" s="401">
        <f t="shared" si="0"/>
        <v>501135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19139</v>
      </c>
      <c r="G18" s="245">
        <v>140885</v>
      </c>
      <c r="H18" s="15"/>
      <c r="I18" s="246"/>
      <c r="J18" s="245"/>
      <c r="K18" s="243"/>
      <c r="L18" s="246"/>
      <c r="M18" s="245"/>
      <c r="N18" s="243"/>
      <c r="O18" s="382">
        <f t="shared" si="0"/>
        <v>19139</v>
      </c>
      <c r="P18" s="395">
        <f t="shared" si="0"/>
        <v>140885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1439294</v>
      </c>
      <c r="G19" s="247">
        <v>5868347</v>
      </c>
      <c r="H19" s="15"/>
      <c r="I19" s="248"/>
      <c r="J19" s="247"/>
      <c r="K19" s="243"/>
      <c r="L19" s="248"/>
      <c r="M19" s="247"/>
      <c r="N19" s="243"/>
      <c r="O19" s="377">
        <f t="shared" si="0"/>
        <v>1439294</v>
      </c>
      <c r="P19" s="429">
        <f t="shared" si="0"/>
        <v>5868347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1183270</v>
      </c>
      <c r="G20" s="247">
        <v>3382496</v>
      </c>
      <c r="H20" s="15"/>
      <c r="I20" s="248"/>
      <c r="J20" s="247"/>
      <c r="K20" s="243"/>
      <c r="L20" s="248"/>
      <c r="M20" s="247"/>
      <c r="N20" s="243"/>
      <c r="O20" s="377">
        <f t="shared" si="0"/>
        <v>1183270</v>
      </c>
      <c r="P20" s="429">
        <f t="shared" si="0"/>
        <v>3382496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1316</v>
      </c>
      <c r="G21" s="247">
        <v>825835</v>
      </c>
      <c r="H21" s="15"/>
      <c r="I21" s="248"/>
      <c r="J21" s="247"/>
      <c r="K21" s="243"/>
      <c r="L21" s="248"/>
      <c r="M21" s="247"/>
      <c r="N21" s="243"/>
      <c r="O21" s="377">
        <f t="shared" si="0"/>
        <v>1316</v>
      </c>
      <c r="P21" s="429">
        <f t="shared" si="0"/>
        <v>825835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230</v>
      </c>
      <c r="G22" s="247">
        <v>507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230</v>
      </c>
      <c r="P22" s="429">
        <f t="shared" si="0"/>
        <v>507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292811</v>
      </c>
      <c r="G24" s="249">
        <v>324308</v>
      </c>
      <c r="H24" s="15"/>
      <c r="I24" s="250"/>
      <c r="J24" s="249">
        <v>-157</v>
      </c>
      <c r="K24" s="243"/>
      <c r="L24" s="250"/>
      <c r="M24" s="249"/>
      <c r="N24" s="243"/>
      <c r="O24" s="378">
        <f t="shared" si="0"/>
        <v>292811</v>
      </c>
      <c r="P24" s="401">
        <f t="shared" si="0"/>
        <v>324151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3032516</v>
      </c>
      <c r="G25" s="251">
        <f>+ROUND(+SUM(G15,G16,G18,G19,G20,G21,G22,G23,G24),0)</f>
        <v>11043513</v>
      </c>
      <c r="H25" s="15"/>
      <c r="I25" s="252">
        <f>+ROUND(+SUM(I15,I16,I18,I19,I20,I21,I22,I23,I24),0)</f>
        <v>0</v>
      </c>
      <c r="J25" s="251">
        <f>+ROUND(+SUM(J15,J16,J18,J19,J20,J21,J22,J23,J24),0)</f>
        <v>-157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3032516</v>
      </c>
      <c r="P25" s="380">
        <f>+ROUND(+SUM(P15,P16,P18,P19,P20,P21,P22,P23,P24),0)</f>
        <v>11043356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>
        <v>266432</v>
      </c>
      <c r="G27" s="245">
        <v>5536065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266432</v>
      </c>
      <c r="P27" s="395">
        <f t="shared" si="1"/>
        <v>5536065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158396</v>
      </c>
      <c r="G28" s="247">
        <v>1116547</v>
      </c>
      <c r="H28" s="15"/>
      <c r="I28" s="248"/>
      <c r="J28" s="247"/>
      <c r="K28" s="243"/>
      <c r="L28" s="248"/>
      <c r="M28" s="247"/>
      <c r="N28" s="243"/>
      <c r="O28" s="377">
        <f t="shared" si="1"/>
        <v>158396</v>
      </c>
      <c r="P28" s="429">
        <f t="shared" si="1"/>
        <v>1116547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424828</v>
      </c>
      <c r="G30" s="251">
        <f>+ROUND(+SUM(G27:G29),0)</f>
        <v>6652612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424828</v>
      </c>
      <c r="P30" s="380">
        <f>+ROUND(+SUM(P27:P29),0)</f>
        <v>6652612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-1780663</v>
      </c>
      <c r="G37" s="263">
        <v>-3721030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-1780663</v>
      </c>
      <c r="P37" s="380">
        <f t="shared" si="2"/>
        <v>-3721030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-1295012</v>
      </c>
      <c r="G38" s="265">
        <v>-3227325</v>
      </c>
      <c r="H38" s="15"/>
      <c r="I38" s="266"/>
      <c r="J38" s="265"/>
      <c r="K38" s="243"/>
      <c r="L38" s="266"/>
      <c r="M38" s="265"/>
      <c r="N38" s="243"/>
      <c r="O38" s="392">
        <f t="shared" si="2"/>
        <v>-1295012</v>
      </c>
      <c r="P38" s="430">
        <f t="shared" si="2"/>
        <v>-3227325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-481999</v>
      </c>
      <c r="G39" s="267">
        <v>-472655</v>
      </c>
      <c r="H39" s="15"/>
      <c r="I39" s="268"/>
      <c r="J39" s="267"/>
      <c r="K39" s="243"/>
      <c r="L39" s="268"/>
      <c r="M39" s="267"/>
      <c r="N39" s="243"/>
      <c r="O39" s="393">
        <f t="shared" si="2"/>
        <v>-481999</v>
      </c>
      <c r="P39" s="431">
        <f t="shared" si="2"/>
        <v>-472655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>
        <v>-3612</v>
      </c>
      <c r="G40" s="269">
        <v>-20955</v>
      </c>
      <c r="H40" s="15"/>
      <c r="I40" s="270"/>
      <c r="J40" s="269"/>
      <c r="K40" s="243"/>
      <c r="L40" s="270"/>
      <c r="M40" s="269"/>
      <c r="N40" s="243"/>
      <c r="O40" s="394">
        <f t="shared" si="2"/>
        <v>-3612</v>
      </c>
      <c r="P40" s="432">
        <f t="shared" si="2"/>
        <v>-20955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2505</v>
      </c>
      <c r="G42" s="263">
        <v>29970</v>
      </c>
      <c r="H42" s="15"/>
      <c r="I42" s="264"/>
      <c r="J42" s="263"/>
      <c r="K42" s="243"/>
      <c r="L42" s="264"/>
      <c r="M42" s="263"/>
      <c r="N42" s="243"/>
      <c r="O42" s="379">
        <f>+ROUND(+F42+I42+L42,0)</f>
        <v>2505</v>
      </c>
      <c r="P42" s="380">
        <f>+ROUND(+G42+J42+M42,0)</f>
        <v>29970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11286</v>
      </c>
      <c r="G44" s="245"/>
      <c r="H44" s="15"/>
      <c r="I44" s="246">
        <v>348067</v>
      </c>
      <c r="J44" s="245">
        <v>3302185</v>
      </c>
      <c r="K44" s="243"/>
      <c r="L44" s="246"/>
      <c r="M44" s="245"/>
      <c r="N44" s="243"/>
      <c r="O44" s="382">
        <f aca="true" t="shared" si="3" ref="O44:P47">+ROUND(+F44+I44+L44,0)</f>
        <v>359353</v>
      </c>
      <c r="P44" s="395">
        <f t="shared" si="3"/>
        <v>3302185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>
        <f>72657+150881</f>
        <v>223538</v>
      </c>
      <c r="J45" s="247">
        <v>425640</v>
      </c>
      <c r="K45" s="243"/>
      <c r="L45" s="248"/>
      <c r="M45" s="247"/>
      <c r="N45" s="243"/>
      <c r="O45" s="377">
        <f t="shared" si="3"/>
        <v>223538</v>
      </c>
      <c r="P45" s="429">
        <f t="shared" si="3"/>
        <v>425640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6500</v>
      </c>
      <c r="G47" s="249">
        <v>29845</v>
      </c>
      <c r="H47" s="15"/>
      <c r="I47" s="250"/>
      <c r="J47" s="249"/>
      <c r="K47" s="243"/>
      <c r="L47" s="250"/>
      <c r="M47" s="249"/>
      <c r="N47" s="243"/>
      <c r="O47" s="378">
        <f t="shared" si="3"/>
        <v>6500</v>
      </c>
      <c r="P47" s="401">
        <f t="shared" si="3"/>
        <v>29845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17786</v>
      </c>
      <c r="G48" s="251">
        <f>+ROUND(+SUM(G44:G47),0)</f>
        <v>29845</v>
      </c>
      <c r="H48" s="15"/>
      <c r="I48" s="252">
        <f>+ROUND(+SUM(I44:I47),0)</f>
        <v>571605</v>
      </c>
      <c r="J48" s="251">
        <f>+ROUND(+SUM(J44:J47),0)</f>
        <v>3727825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589391</v>
      </c>
      <c r="P48" s="380">
        <f>+ROUND(+SUM(P44:P47),0)</f>
        <v>3757670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1696972</v>
      </c>
      <c r="G50" s="273">
        <f>+ROUND(G25+G30+G37+G42+G48,0)</f>
        <v>14034910</v>
      </c>
      <c r="H50" s="15"/>
      <c r="I50" s="274">
        <f>+ROUND(I25+I30+I37+I42+I48,0)</f>
        <v>571605</v>
      </c>
      <c r="J50" s="273">
        <f>+ROUND(J25+J30+J37+J42+J48,0)</f>
        <v>3727668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2268577</v>
      </c>
      <c r="P50" s="397">
        <f>+ROUND(P25+P30+P37+P42+P48,0)</f>
        <v>17762578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5580923</v>
      </c>
      <c r="G53" s="275">
        <v>65593522</v>
      </c>
      <c r="H53" s="15"/>
      <c r="I53" s="276">
        <f>1602699+1043825+193010</f>
        <v>2839534</v>
      </c>
      <c r="J53" s="275">
        <v>11360753</v>
      </c>
      <c r="K53" s="243"/>
      <c r="L53" s="276"/>
      <c r="M53" s="275"/>
      <c r="N53" s="243"/>
      <c r="O53" s="383">
        <f aca="true" t="shared" si="4" ref="O53:P57">+ROUND(+F53+I53+L53,0)</f>
        <v>8420457</v>
      </c>
      <c r="P53" s="376">
        <f t="shared" si="4"/>
        <v>76954275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117353</v>
      </c>
      <c r="G54" s="249">
        <v>329743</v>
      </c>
      <c r="H54" s="15"/>
      <c r="I54" s="250">
        <f>1900+29+1613</f>
        <v>3542</v>
      </c>
      <c r="J54" s="249">
        <v>75</v>
      </c>
      <c r="K54" s="243"/>
      <c r="L54" s="250"/>
      <c r="M54" s="249"/>
      <c r="N54" s="243"/>
      <c r="O54" s="378">
        <f t="shared" si="4"/>
        <v>120895</v>
      </c>
      <c r="P54" s="401">
        <f t="shared" si="4"/>
        <v>329818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91857</v>
      </c>
      <c r="G55" s="249">
        <v>4487936</v>
      </c>
      <c r="H55" s="15"/>
      <c r="I55" s="250">
        <v>30</v>
      </c>
      <c r="J55" s="249">
        <v>1632</v>
      </c>
      <c r="K55" s="243"/>
      <c r="L55" s="250"/>
      <c r="M55" s="249"/>
      <c r="N55" s="243"/>
      <c r="O55" s="378">
        <f t="shared" si="4"/>
        <v>91887</v>
      </c>
      <c r="P55" s="401">
        <f t="shared" si="4"/>
        <v>4489568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11274942</v>
      </c>
      <c r="G56" s="249">
        <v>51293079</v>
      </c>
      <c r="H56" s="15"/>
      <c r="I56" s="250">
        <f>923607+241012+22539</f>
        <v>1187158</v>
      </c>
      <c r="J56" s="249">
        <v>4451990</v>
      </c>
      <c r="K56" s="243"/>
      <c r="L56" s="250"/>
      <c r="M56" s="249"/>
      <c r="N56" s="243"/>
      <c r="O56" s="378">
        <f t="shared" si="4"/>
        <v>12462100</v>
      </c>
      <c r="P56" s="401">
        <f t="shared" si="4"/>
        <v>55745069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2576024</v>
      </c>
      <c r="G57" s="249">
        <v>10980330</v>
      </c>
      <c r="H57" s="15"/>
      <c r="I57" s="250">
        <f>225372+44035+1830</f>
        <v>271237</v>
      </c>
      <c r="J57" s="249">
        <v>1046329</v>
      </c>
      <c r="K57" s="243"/>
      <c r="L57" s="250"/>
      <c r="M57" s="249"/>
      <c r="N57" s="243"/>
      <c r="O57" s="378">
        <f t="shared" si="4"/>
        <v>2847261</v>
      </c>
      <c r="P57" s="401">
        <f t="shared" si="4"/>
        <v>12026659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19641099</v>
      </c>
      <c r="G58" s="277">
        <f>+ROUND(+SUM(G53:G57),0)</f>
        <v>132684610</v>
      </c>
      <c r="H58" s="15"/>
      <c r="I58" s="278">
        <f>+ROUND(+SUM(I53:I57),0)</f>
        <v>4301501</v>
      </c>
      <c r="J58" s="277">
        <f>+ROUND(+SUM(J53:J57),0)</f>
        <v>16860779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23942600</v>
      </c>
      <c r="P58" s="399">
        <f>+ROUND(+SUM(P53:P57),0)</f>
        <v>149545389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264363</v>
      </c>
      <c r="G61" s="249">
        <v>14669662</v>
      </c>
      <c r="H61" s="15"/>
      <c r="I61" s="250">
        <f>670544+29729</f>
        <v>700273</v>
      </c>
      <c r="J61" s="249">
        <v>4420573</v>
      </c>
      <c r="K61" s="243"/>
      <c r="L61" s="250"/>
      <c r="M61" s="249"/>
      <c r="N61" s="243"/>
      <c r="O61" s="378">
        <f t="shared" si="5"/>
        <v>964636</v>
      </c>
      <c r="P61" s="401">
        <f t="shared" si="5"/>
        <v>19090235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16606</v>
      </c>
      <c r="G62" s="249">
        <v>796548</v>
      </c>
      <c r="H62" s="15"/>
      <c r="I62" s="250">
        <v>262800</v>
      </c>
      <c r="J62" s="249">
        <v>61177</v>
      </c>
      <c r="K62" s="243"/>
      <c r="L62" s="250"/>
      <c r="M62" s="249"/>
      <c r="N62" s="243"/>
      <c r="O62" s="378">
        <f t="shared" si="5"/>
        <v>279406</v>
      </c>
      <c r="P62" s="401">
        <f t="shared" si="5"/>
        <v>857725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280969</v>
      </c>
      <c r="G65" s="277">
        <f>+ROUND(+SUM(G60:G63),0)</f>
        <v>15466210</v>
      </c>
      <c r="H65" s="15"/>
      <c r="I65" s="278">
        <f>+ROUND(+SUM(I60:I63),0)</f>
        <v>963073</v>
      </c>
      <c r="J65" s="277">
        <f>+ROUND(+SUM(J60:J63),0)</f>
        <v>4481750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1244042</v>
      </c>
      <c r="P65" s="399">
        <f>+ROUND(+SUM(P60:P63),0)</f>
        <v>19947960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10614</v>
      </c>
      <c r="G71" s="275">
        <v>69803</v>
      </c>
      <c r="H71" s="15"/>
      <c r="I71" s="276"/>
      <c r="J71" s="275"/>
      <c r="K71" s="243"/>
      <c r="L71" s="276"/>
      <c r="M71" s="275"/>
      <c r="N71" s="243"/>
      <c r="O71" s="383">
        <f>+ROUND(+F71+I71+L71,0)</f>
        <v>10614</v>
      </c>
      <c r="P71" s="376">
        <f>+ROUND(+G71+J71+M71,0)</f>
        <v>69803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10614</v>
      </c>
      <c r="G73" s="277">
        <f>+ROUND(+SUM(G71:G72),0)</f>
        <v>69803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10614</v>
      </c>
      <c r="P73" s="399">
        <f>+ROUND(+SUM(P71:P72),0)</f>
        <v>69803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1961932</v>
      </c>
      <c r="G75" s="275">
        <v>10235339</v>
      </c>
      <c r="H75" s="15"/>
      <c r="I75" s="276">
        <v>82502</v>
      </c>
      <c r="J75" s="275">
        <v>626062</v>
      </c>
      <c r="K75" s="243"/>
      <c r="L75" s="276"/>
      <c r="M75" s="275"/>
      <c r="N75" s="243"/>
      <c r="O75" s="383">
        <f>+ROUND(+F75+I75+L75,0)</f>
        <v>2044434</v>
      </c>
      <c r="P75" s="376">
        <f>+ROUND(+G75+J75+M75,0)</f>
        <v>10861401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1961932</v>
      </c>
      <c r="G77" s="277">
        <f>+ROUND(+SUM(G75:G76),0)</f>
        <v>10235339</v>
      </c>
      <c r="H77" s="15"/>
      <c r="I77" s="278">
        <f>+ROUND(+SUM(I75:I76),0)</f>
        <v>82502</v>
      </c>
      <c r="J77" s="277">
        <f>+ROUND(+SUM(J75:J76),0)</f>
        <v>626062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2044434</v>
      </c>
      <c r="P77" s="399">
        <f>+ROUND(+SUM(P75:P76),0)</f>
        <v>10861401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21894614</v>
      </c>
      <c r="G79" s="288">
        <f>+ROUND(G58+G65+G69+G73+G77,0)</f>
        <v>158455962</v>
      </c>
      <c r="H79" s="15"/>
      <c r="I79" s="285">
        <f>+ROUND(I58+I65+I69+I73+I77,0)</f>
        <v>5347076</v>
      </c>
      <c r="J79" s="288">
        <f>+ROUND(J58+J65+J69+J73+J77,0)</f>
        <v>21968591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27241690</v>
      </c>
      <c r="P79" s="409">
        <f>+ROUND(P58+P65+P69+P73+P77,0)</f>
        <v>180424553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21356476</v>
      </c>
      <c r="G81" s="245">
        <v>138387349</v>
      </c>
      <c r="H81" s="15"/>
      <c r="I81" s="246">
        <f>3254721+401304+138609</f>
        <v>3794634</v>
      </c>
      <c r="J81" s="245">
        <v>25635152</v>
      </c>
      <c r="K81" s="243"/>
      <c r="L81" s="246"/>
      <c r="M81" s="245"/>
      <c r="N81" s="243"/>
      <c r="O81" s="382">
        <f>+ROUND(+F81+I81+L81,0)</f>
        <v>25151110</v>
      </c>
      <c r="P81" s="395">
        <f>+ROUND(+G81+J81+M81,0)</f>
        <v>164022501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21356476</v>
      </c>
      <c r="G83" s="286">
        <f>+ROUND(G81+G82,0)</f>
        <v>138387349</v>
      </c>
      <c r="H83" s="15"/>
      <c r="I83" s="287">
        <f>+ROUND(I81+I82,0)</f>
        <v>3794634</v>
      </c>
      <c r="J83" s="286">
        <f>+ROUND(J81+J82,0)</f>
        <v>25635152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25151110</v>
      </c>
      <c r="P83" s="404">
        <f>+ROUND(P81+P82,0)</f>
        <v>164022501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1158834</v>
      </c>
      <c r="G85" s="307">
        <f>+ROUND(G50,0)-ROUND(G79,0)+ROUND(G83,0)</f>
        <v>-6033703</v>
      </c>
      <c r="H85" s="15"/>
      <c r="I85" s="308">
        <f>+ROUND(I50,0)-ROUND(I79,0)+ROUND(I83,0)</f>
        <v>-980837</v>
      </c>
      <c r="J85" s="307">
        <f>+ROUND(J50,0)-ROUND(J79,0)+ROUND(J83,0)</f>
        <v>7394229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177997</v>
      </c>
      <c r="P85" s="406">
        <f>+ROUND(P50,0)-ROUND(P79,0)+ROUND(P83,0)</f>
        <v>1360526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-1158834</v>
      </c>
      <c r="G86" s="309">
        <f>+ROUND(G103,0)+ROUND(G122,0)+ROUND(G129,0)-ROUND(G134,0)</f>
        <v>6033703</v>
      </c>
      <c r="H86" s="15"/>
      <c r="I86" s="310">
        <f>+ROUND(I103,0)+ROUND(I122,0)+ROUND(I129,0)-ROUND(I134,0)</f>
        <v>980837</v>
      </c>
      <c r="J86" s="309">
        <f>+ROUND(J103,0)+ROUND(J122,0)+ROUND(J129,0)-ROUND(J134,0)</f>
        <v>-7394229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-177997</v>
      </c>
      <c r="P86" s="408">
        <f>+ROUND(P103,0)+ROUND(P122,0)+ROUND(P129,0)-ROUND(P134,0)</f>
        <v>-1360526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14003</v>
      </c>
      <c r="G100" s="249">
        <v>-11819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14003</v>
      </c>
      <c r="P100" s="401">
        <f>+ROUND(+G100+J100+M100,0)</f>
        <v>-11819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14003</v>
      </c>
      <c r="G101" s="251">
        <f>+ROUND(+SUM(G99:G100),0)</f>
        <v>-11819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14003</v>
      </c>
      <c r="P101" s="380">
        <f>+ROUND(+SUM(P99:P100),0)</f>
        <v>-11819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14003</v>
      </c>
      <c r="G103" s="273">
        <f>+ROUND(G91+G97+G101,0)</f>
        <v>-11819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14003</v>
      </c>
      <c r="P103" s="397">
        <f>+ROUND(P91+P97+P101,0)</f>
        <v>-11819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2233</v>
      </c>
      <c r="G118" s="275">
        <v>6022</v>
      </c>
      <c r="H118" s="15"/>
      <c r="I118" s="276"/>
      <c r="J118" s="275"/>
      <c r="K118" s="243"/>
      <c r="L118" s="276">
        <v>-2684874</v>
      </c>
      <c r="M118" s="275">
        <v>2300245</v>
      </c>
      <c r="N118" s="243"/>
      <c r="O118" s="383">
        <f>+ROUND(+F118+I118+L118,0)</f>
        <v>-2682641</v>
      </c>
      <c r="P118" s="376">
        <f>+ROUND(+G118+J118+M118,0)</f>
        <v>2306267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2233</v>
      </c>
      <c r="G120" s="277">
        <f>+ROUND(+SUM(G118:G119),0)</f>
        <v>6022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-2684874</v>
      </c>
      <c r="M120" s="277">
        <f>+ROUND(+SUM(M118:M119),0)</f>
        <v>2300245</v>
      </c>
      <c r="N120" s="243"/>
      <c r="O120" s="398">
        <f>+ROUND(+SUM(O118:O119),0)</f>
        <v>-2682641</v>
      </c>
      <c r="P120" s="399">
        <f>+ROUND(+SUM(P118:P119),0)</f>
        <v>2306267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2233</v>
      </c>
      <c r="G122" s="288">
        <f>+ROUND(G108+G112+G116+G120,0)</f>
        <v>6022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-2684874</v>
      </c>
      <c r="M122" s="288">
        <f>+ROUND(M108+M112+M116+M120,0)</f>
        <v>2300245</v>
      </c>
      <c r="N122" s="243"/>
      <c r="O122" s="402">
        <f>+ROUND(O108+O112+O116+O120,0)</f>
        <v>-2682641</v>
      </c>
      <c r="P122" s="409">
        <f>+ROUND(P108+P112+P116+P120,0)</f>
        <v>2306267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-966300</v>
      </c>
      <c r="G125" s="249">
        <v>7544384</v>
      </c>
      <c r="H125" s="15"/>
      <c r="I125" s="250">
        <f>-249163+1257581-42118</f>
        <v>966300</v>
      </c>
      <c r="J125" s="249">
        <v>-7544384</v>
      </c>
      <c r="K125" s="243"/>
      <c r="L125" s="250">
        <v>-151072</v>
      </c>
      <c r="M125" s="249">
        <v>-3618003</v>
      </c>
      <c r="N125" s="243"/>
      <c r="O125" s="378">
        <f t="shared" si="7"/>
        <v>-151072</v>
      </c>
      <c r="P125" s="401">
        <f t="shared" si="7"/>
        <v>-3618003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-282714</v>
      </c>
      <c r="G126" s="249">
        <v>-150155</v>
      </c>
      <c r="H126" s="15"/>
      <c r="I126" s="250">
        <f>10820+2368+1349</f>
        <v>14537</v>
      </c>
      <c r="J126" s="249">
        <v>150155</v>
      </c>
      <c r="K126" s="243"/>
      <c r="L126" s="250"/>
      <c r="M126" s="249">
        <v>-3105</v>
      </c>
      <c r="N126" s="243"/>
      <c r="O126" s="378">
        <f t="shared" si="7"/>
        <v>-268177</v>
      </c>
      <c r="P126" s="401">
        <f t="shared" si="7"/>
        <v>-3105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-1249014</v>
      </c>
      <c r="G129" s="286">
        <f>+ROUND(+SUM(G124,G125,G126,G128),0)</f>
        <v>7394229</v>
      </c>
      <c r="H129" s="15"/>
      <c r="I129" s="287">
        <f>+ROUND(+SUM(I124,I125,I126,I128),0)</f>
        <v>980837</v>
      </c>
      <c r="J129" s="286">
        <f>+ROUND(+SUM(J124,J125,J126,J128),0)</f>
        <v>-7394229</v>
      </c>
      <c r="K129" s="243"/>
      <c r="L129" s="287">
        <f>+ROUND(+SUM(L124,L125,L126,L128),0)</f>
        <v>-151072</v>
      </c>
      <c r="M129" s="286">
        <f>+ROUND(+SUM(M124,M125,M126,M128),0)</f>
        <v>-3621108</v>
      </c>
      <c r="N129" s="243"/>
      <c r="O129" s="403">
        <f>+ROUND(+SUM(O124,O125,O126,O128),0)</f>
        <v>-419249</v>
      </c>
      <c r="P129" s="404">
        <f>+ROUND(+SUM(P124,P125,P126,P128),0)</f>
        <v>-3621108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5754215</v>
      </c>
      <c r="G131" s="245">
        <v>4409841</v>
      </c>
      <c r="H131" s="15"/>
      <c r="I131" s="246"/>
      <c r="J131" s="245"/>
      <c r="K131" s="243"/>
      <c r="L131" s="246">
        <v>22064199</v>
      </c>
      <c r="M131" s="245">
        <v>23385062</v>
      </c>
      <c r="N131" s="243"/>
      <c r="O131" s="382">
        <f aca="true" t="shared" si="8" ref="O131:P133">+ROUND(+F131+I131+L131,0)</f>
        <v>27818414</v>
      </c>
      <c r="P131" s="395">
        <f t="shared" si="8"/>
        <v>27794903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-3800</v>
      </c>
      <c r="G132" s="249">
        <v>-10355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-3800</v>
      </c>
      <c r="P132" s="401">
        <f t="shared" si="8"/>
        <v>-10355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5676471</v>
      </c>
      <c r="G133" s="249">
        <v>5754215</v>
      </c>
      <c r="H133" s="15"/>
      <c r="I133" s="250"/>
      <c r="J133" s="249"/>
      <c r="K133" s="243"/>
      <c r="L133" s="250">
        <v>19228253</v>
      </c>
      <c r="M133" s="249">
        <v>22064199</v>
      </c>
      <c r="N133" s="243"/>
      <c r="O133" s="378">
        <f t="shared" si="8"/>
        <v>24904724</v>
      </c>
      <c r="P133" s="401">
        <f t="shared" si="8"/>
        <v>27818414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-73944</v>
      </c>
      <c r="G134" s="291">
        <f>+ROUND(+G133-G131-G132,0)</f>
        <v>1354729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-2835946</v>
      </c>
      <c r="M134" s="291">
        <f>+ROUND(+M133-M131-M132,0)</f>
        <v>-1320863</v>
      </c>
      <c r="N134" s="243"/>
      <c r="O134" s="411">
        <f>+ROUND(+O133-O131-O132,0)</f>
        <v>-2909890</v>
      </c>
      <c r="P134" s="412">
        <f>+ROUND(+P133-P131-P132,0)</f>
        <v>33866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26042018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375</v>
      </c>
      <c r="G143" s="666"/>
      <c r="H143" s="666"/>
      <c r="I143" s="667"/>
      <c r="J143" s="362"/>
      <c r="K143" s="16"/>
      <c r="L143" s="362" t="s">
        <v>241</v>
      </c>
      <c r="M143" s="665" t="s">
        <v>376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="80" zoomScaleNormal="80" zoomScalePageLayoutView="0" workbookViewId="0" topLeftCell="A1">
      <pane xSplit="5" ySplit="12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" sqref="F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МИНИСТЕРСКИ СЪВЕТ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695025</v>
      </c>
      <c r="J1" s="689"/>
      <c r="K1" s="456"/>
      <c r="L1" s="457" t="s">
        <v>254</v>
      </c>
      <c r="M1" s="458">
        <f>+'Cash-Flow-2018-Leva'!M1</f>
        <v>300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 t="str">
        <f>+'Cash-Flow-2018-Leva'!H3</f>
        <v>www.government.bg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МИНИСТЕРСКИ СЪВЕТ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96.456</v>
      </c>
      <c r="G16" s="283">
        <f>+'Cash-Flow-2018-Leva'!G16/1000</f>
        <v>501.135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96.456</v>
      </c>
      <c r="P16" s="401">
        <f t="shared" si="1"/>
        <v>501.135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19.139</v>
      </c>
      <c r="G18" s="271">
        <f>+'Cash-Flow-2018-Leva'!G18/1000</f>
        <v>140.885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19.139</v>
      </c>
      <c r="P18" s="395">
        <f t="shared" si="1"/>
        <v>140.885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1439.294</v>
      </c>
      <c r="G19" s="294">
        <f>+'Cash-Flow-2018-Leva'!G19/1000</f>
        <v>5868.347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1439.294</v>
      </c>
      <c r="P19" s="429">
        <f t="shared" si="1"/>
        <v>5868.347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1183.27</v>
      </c>
      <c r="G20" s="294">
        <f>+'Cash-Flow-2018-Leva'!G20/1000</f>
        <v>3382.496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1183.27</v>
      </c>
      <c r="P20" s="429">
        <f t="shared" si="1"/>
        <v>3382.496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1.316</v>
      </c>
      <c r="G21" s="294">
        <f>+'Cash-Flow-2018-Leva'!G21/1000</f>
        <v>825.835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1.316</v>
      </c>
      <c r="P21" s="429">
        <f t="shared" si="1"/>
        <v>825.835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0.23</v>
      </c>
      <c r="G22" s="294">
        <f>+'Cash-Flow-2018-Leva'!G22/1000</f>
        <v>0.507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0.23</v>
      </c>
      <c r="P22" s="429">
        <f t="shared" si="1"/>
        <v>0.507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292.811</v>
      </c>
      <c r="G24" s="283">
        <f>+'Cash-Flow-2018-Leva'!G24/1000</f>
        <v>324.308</v>
      </c>
      <c r="H24" s="293"/>
      <c r="I24" s="284">
        <f>+'Cash-Flow-2018-Leva'!I24/1000</f>
        <v>0</v>
      </c>
      <c r="J24" s="283">
        <f>+'Cash-Flow-2018-Leva'!J24/1000</f>
        <v>-0.157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292.811</v>
      </c>
      <c r="P24" s="401">
        <f t="shared" si="1"/>
        <v>324.151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3032.516</v>
      </c>
      <c r="G25" s="251">
        <f>+SUM(G15,G16,G18,G19,G20,G21,G22,G23,G24)</f>
        <v>11043.512999999999</v>
      </c>
      <c r="H25" s="293"/>
      <c r="I25" s="252">
        <f>+SUM(I15,I16,I18,I19,I20,I21,I22,I23,I24)</f>
        <v>0</v>
      </c>
      <c r="J25" s="251">
        <f>+SUM(J15,J16,J18,J19,J20,J21,J22,J23,J24)</f>
        <v>-0.157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3032.516</v>
      </c>
      <c r="P25" s="380">
        <f>+SUM(P15,P16,P18,P19,P20,P21,P22,P23,P24)</f>
        <v>11043.356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266.432</v>
      </c>
      <c r="G27" s="271">
        <f>+'Cash-Flow-2018-Leva'!G27/1000</f>
        <v>5536.065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266.432</v>
      </c>
      <c r="P27" s="395">
        <f t="shared" si="2"/>
        <v>5536.065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158.396</v>
      </c>
      <c r="G28" s="294">
        <f>+'Cash-Flow-2018-Leva'!G28/1000</f>
        <v>1116.547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158.396</v>
      </c>
      <c r="P28" s="429">
        <f t="shared" si="2"/>
        <v>1116.547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424.828</v>
      </c>
      <c r="G30" s="251">
        <f>+SUM(G27:G29)</f>
        <v>6652.611999999999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424.828</v>
      </c>
      <c r="P30" s="380">
        <f>+SUM(P27:P29)</f>
        <v>6652.611999999999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-1780.663</v>
      </c>
      <c r="G37" s="251">
        <f>+'Cash-Flow-2018-Leva'!G37/1000</f>
        <v>-3721.03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-1780.663</v>
      </c>
      <c r="P37" s="380">
        <f t="shared" si="3"/>
        <v>-3721.03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-1295.012</v>
      </c>
      <c r="G38" s="296">
        <f>+'Cash-Flow-2018-Leva'!G38/1000</f>
        <v>-3227.325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-1295.012</v>
      </c>
      <c r="P38" s="430">
        <f t="shared" si="3"/>
        <v>-3227.325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-481.999</v>
      </c>
      <c r="G39" s="298">
        <f>+'Cash-Flow-2018-Leva'!G39/1000</f>
        <v>-472.655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-481.999</v>
      </c>
      <c r="P39" s="431">
        <f t="shared" si="3"/>
        <v>-472.655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-3.612</v>
      </c>
      <c r="G40" s="300">
        <f>+'Cash-Flow-2018-Leva'!G40/1000</f>
        <v>-20.955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-3.612</v>
      </c>
      <c r="P40" s="432">
        <f t="shared" si="3"/>
        <v>-20.955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2.505</v>
      </c>
      <c r="G42" s="251">
        <f>+'Cash-Flow-2018-Leva'!G42/1000</f>
        <v>29.97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2.505</v>
      </c>
      <c r="P42" s="380">
        <f>+G42+J42+M42</f>
        <v>29.97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11.286</v>
      </c>
      <c r="G44" s="271">
        <f>+'Cash-Flow-2018-Leva'!G44/1000</f>
        <v>0</v>
      </c>
      <c r="H44" s="293"/>
      <c r="I44" s="272">
        <f>+'Cash-Flow-2018-Leva'!I44/1000</f>
        <v>348.067</v>
      </c>
      <c r="J44" s="271">
        <f>+'Cash-Flow-2018-Leva'!J44/1000</f>
        <v>3302.185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359.353</v>
      </c>
      <c r="P44" s="395">
        <f t="shared" si="4"/>
        <v>3302.185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223.538</v>
      </c>
      <c r="J45" s="294">
        <f>+'Cash-Flow-2018-Leva'!J45/1000</f>
        <v>425.64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223.538</v>
      </c>
      <c r="P45" s="429">
        <f t="shared" si="4"/>
        <v>425.64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6.5</v>
      </c>
      <c r="G47" s="283">
        <f>+'Cash-Flow-2018-Leva'!G47/1000</f>
        <v>29.845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6.5</v>
      </c>
      <c r="P47" s="401">
        <f t="shared" si="4"/>
        <v>29.845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17.786</v>
      </c>
      <c r="G48" s="251">
        <f>+SUM(G44:G47)</f>
        <v>29.845</v>
      </c>
      <c r="H48" s="293"/>
      <c r="I48" s="252">
        <f>+SUM(I44:I47)</f>
        <v>571.605</v>
      </c>
      <c r="J48" s="251">
        <f>+SUM(J44:J47)</f>
        <v>3727.825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589.3910000000001</v>
      </c>
      <c r="P48" s="380">
        <f>+SUM(P44:P47)</f>
        <v>3757.6699999999996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1696.9720000000002</v>
      </c>
      <c r="G50" s="273">
        <f>+G25+G30+G37+G42+G48</f>
        <v>14034.909999999998</v>
      </c>
      <c r="H50" s="293"/>
      <c r="I50" s="274">
        <f>+I25+I30+I37+I42+I48</f>
        <v>571.605</v>
      </c>
      <c r="J50" s="273">
        <f>+J25+J30+J37+J42+J48</f>
        <v>3727.6679999999997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2268.577</v>
      </c>
      <c r="P50" s="397">
        <f>+P25+P30+P37+P42+P48</f>
        <v>17762.577999999998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5580.923</v>
      </c>
      <c r="G53" s="244">
        <f>+'Cash-Flow-2018-Leva'!G53/1000</f>
        <v>65593.522</v>
      </c>
      <c r="H53" s="293"/>
      <c r="I53" s="254">
        <f>+'Cash-Flow-2018-Leva'!I53/1000</f>
        <v>2839.534</v>
      </c>
      <c r="J53" s="244">
        <f>+'Cash-Flow-2018-Leva'!J53/1000</f>
        <v>11360.753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8420.457</v>
      </c>
      <c r="P53" s="376">
        <f t="shared" si="5"/>
        <v>76954.275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117.353</v>
      </c>
      <c r="G54" s="283">
        <f>+'Cash-Flow-2018-Leva'!G54/1000</f>
        <v>329.743</v>
      </c>
      <c r="H54" s="293"/>
      <c r="I54" s="284">
        <f>+'Cash-Flow-2018-Leva'!I54/1000</f>
        <v>3.542</v>
      </c>
      <c r="J54" s="283">
        <f>+'Cash-Flow-2018-Leva'!J54/1000</f>
        <v>0.075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120.895</v>
      </c>
      <c r="P54" s="401">
        <f t="shared" si="5"/>
        <v>329.818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91.857</v>
      </c>
      <c r="G55" s="283">
        <f>+'Cash-Flow-2018-Leva'!G55/1000</f>
        <v>4487.936</v>
      </c>
      <c r="H55" s="293"/>
      <c r="I55" s="284">
        <f>+'Cash-Flow-2018-Leva'!I55/1000</f>
        <v>0.03</v>
      </c>
      <c r="J55" s="283">
        <f>+'Cash-Flow-2018-Leva'!J55/1000</f>
        <v>1.632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91.887</v>
      </c>
      <c r="P55" s="401">
        <f t="shared" si="5"/>
        <v>4489.567999999999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11274.942</v>
      </c>
      <c r="G56" s="283">
        <f>+'Cash-Flow-2018-Leva'!G56/1000</f>
        <v>51293.079</v>
      </c>
      <c r="H56" s="293"/>
      <c r="I56" s="284">
        <f>+'Cash-Flow-2018-Leva'!I56/1000</f>
        <v>1187.158</v>
      </c>
      <c r="J56" s="283">
        <f>+'Cash-Flow-2018-Leva'!J56/1000</f>
        <v>4451.99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12462.099999999999</v>
      </c>
      <c r="P56" s="401">
        <f t="shared" si="5"/>
        <v>55745.068999999996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2576.024</v>
      </c>
      <c r="G57" s="283">
        <f>+'Cash-Flow-2018-Leva'!G57/1000</f>
        <v>10980.33</v>
      </c>
      <c r="H57" s="293"/>
      <c r="I57" s="284">
        <f>+'Cash-Flow-2018-Leva'!I57/1000</f>
        <v>271.237</v>
      </c>
      <c r="J57" s="283">
        <f>+'Cash-Flow-2018-Leva'!J57/1000</f>
        <v>1046.329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2847.261</v>
      </c>
      <c r="P57" s="401">
        <f t="shared" si="5"/>
        <v>12026.659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19641.099</v>
      </c>
      <c r="G58" s="277">
        <f>+SUM(G53:G57)</f>
        <v>132684.61</v>
      </c>
      <c r="H58" s="293"/>
      <c r="I58" s="278">
        <f>+SUM(I53:I57)</f>
        <v>4301.501</v>
      </c>
      <c r="J58" s="277">
        <f>+SUM(J53:J57)</f>
        <v>16860.779000000002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23942.6</v>
      </c>
      <c r="P58" s="399">
        <f>+SUM(P53:P57)</f>
        <v>149545.38899999997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264.363</v>
      </c>
      <c r="G61" s="283">
        <f>+'Cash-Flow-2018-Leva'!G61/1000</f>
        <v>14669.662</v>
      </c>
      <c r="H61" s="293"/>
      <c r="I61" s="284">
        <f>+'Cash-Flow-2018-Leva'!I61/1000</f>
        <v>700.273</v>
      </c>
      <c r="J61" s="283">
        <f>+'Cash-Flow-2018-Leva'!J61/1000</f>
        <v>4420.573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964.636</v>
      </c>
      <c r="P61" s="401">
        <f t="shared" si="6"/>
        <v>19090.235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16.606</v>
      </c>
      <c r="G62" s="283">
        <f>+'Cash-Flow-2018-Leva'!G62/1000</f>
        <v>796.548</v>
      </c>
      <c r="H62" s="293"/>
      <c r="I62" s="284">
        <f>+'Cash-Flow-2018-Leva'!I62/1000</f>
        <v>262.8</v>
      </c>
      <c r="J62" s="283">
        <f>+'Cash-Flow-2018-Leva'!J62/1000</f>
        <v>61.177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279.406</v>
      </c>
      <c r="P62" s="401">
        <f t="shared" si="6"/>
        <v>857.725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280.969</v>
      </c>
      <c r="G65" s="277">
        <f>+SUM(G60:G63)</f>
        <v>15466.210000000001</v>
      </c>
      <c r="H65" s="293"/>
      <c r="I65" s="278">
        <f>+SUM(I60:I63)</f>
        <v>963.0730000000001</v>
      </c>
      <c r="J65" s="277">
        <f>+SUM(J60:J63)</f>
        <v>4481.75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1244.042</v>
      </c>
      <c r="P65" s="399">
        <f>+SUM(P60:P63)</f>
        <v>19947.96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10.614</v>
      </c>
      <c r="G71" s="244">
        <f>+'Cash-Flow-2018-Leva'!G71/1000</f>
        <v>69.803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10.614</v>
      </c>
      <c r="P71" s="376">
        <f>+G71+J71+M71</f>
        <v>69.803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10.614</v>
      </c>
      <c r="G73" s="277">
        <f>+SUM(G71:G72)</f>
        <v>69.803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10.614</v>
      </c>
      <c r="P73" s="399">
        <f>+SUM(P71:P72)</f>
        <v>69.803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1961.932</v>
      </c>
      <c r="G75" s="244">
        <f>+'Cash-Flow-2018-Leva'!G75/1000</f>
        <v>10235.339</v>
      </c>
      <c r="H75" s="293"/>
      <c r="I75" s="254">
        <f>+'Cash-Flow-2018-Leva'!I75/1000</f>
        <v>82.502</v>
      </c>
      <c r="J75" s="244">
        <f>+'Cash-Flow-2018-Leva'!J75/1000</f>
        <v>626.062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2044.434</v>
      </c>
      <c r="P75" s="376">
        <f>+G75+J75+M75</f>
        <v>10861.401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1961.932</v>
      </c>
      <c r="G77" s="277">
        <f>+SUM(G75:G76)</f>
        <v>10235.339</v>
      </c>
      <c r="H77" s="293"/>
      <c r="I77" s="278">
        <f>+SUM(I75:I76)</f>
        <v>82.502</v>
      </c>
      <c r="J77" s="277">
        <f>+SUM(J75:J76)</f>
        <v>626.062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2044.434</v>
      </c>
      <c r="P77" s="399">
        <f>+SUM(P75:P76)</f>
        <v>10861.401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21894.614</v>
      </c>
      <c r="G79" s="288">
        <f>+G58+G65+G69+G73+G77</f>
        <v>158455.962</v>
      </c>
      <c r="H79" s="293"/>
      <c r="I79" s="285">
        <f>+I58+I65+I69+I73+I77</f>
        <v>5347.076000000001</v>
      </c>
      <c r="J79" s="288">
        <f>+J58+J65+J69+J73+J77</f>
        <v>21968.591000000004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27241.690000000002</v>
      </c>
      <c r="P79" s="409">
        <f>+P58+P65+P69+P73+P77</f>
        <v>180424.55299999999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21356.476</v>
      </c>
      <c r="G81" s="271">
        <f>+'Cash-Flow-2018-Leva'!G81/1000</f>
        <v>138387.349</v>
      </c>
      <c r="H81" s="293"/>
      <c r="I81" s="272">
        <f>+'Cash-Flow-2018-Leva'!I81/1000</f>
        <v>3794.634</v>
      </c>
      <c r="J81" s="271">
        <f>+'Cash-Flow-2018-Leva'!J81/1000</f>
        <v>25635.152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25151.11</v>
      </c>
      <c r="P81" s="395">
        <f>+G81+J81+M81</f>
        <v>164022.501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21356.476</v>
      </c>
      <c r="G83" s="286">
        <f>+G81+G82</f>
        <v>138387.349</v>
      </c>
      <c r="H83" s="293"/>
      <c r="I83" s="287">
        <f>+I81+I82</f>
        <v>3794.634</v>
      </c>
      <c r="J83" s="286">
        <f>+J81+J82</f>
        <v>25635.152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25151.11</v>
      </c>
      <c r="P83" s="404">
        <f>+P81+P82</f>
        <v>164022.501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1158.833999999999</v>
      </c>
      <c r="G85" s="307">
        <f>+G50-G79+G83</f>
        <v>-6033.703000000009</v>
      </c>
      <c r="H85" s="293"/>
      <c r="I85" s="308">
        <f>+I50-I79+I83</f>
        <v>-980.8370000000014</v>
      </c>
      <c r="J85" s="307">
        <f>+J50-J79+J83</f>
        <v>7394.228999999996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177.9969999999994</v>
      </c>
      <c r="P85" s="406">
        <f>+P50-P79+P83</f>
        <v>1360.5260000000126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-1158.8339999999992</v>
      </c>
      <c r="G86" s="309">
        <f>+G103+G122+G129-G134</f>
        <v>6033.703000000001</v>
      </c>
      <c r="H86" s="293"/>
      <c r="I86" s="310">
        <f>+I103+I122+I129-I134</f>
        <v>980.837</v>
      </c>
      <c r="J86" s="309">
        <f>+J103+J122+J129-J134</f>
        <v>-7394.229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-177.9970000000012</v>
      </c>
      <c r="P86" s="408">
        <f>+P103+P122+P129-P134</f>
        <v>-1360.525999999999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14.003</v>
      </c>
      <c r="G100" s="283">
        <f>+'Cash-Flow-2018-Leva'!G100/1000</f>
        <v>-11.819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14.003</v>
      </c>
      <c r="P100" s="401">
        <f>+G100+J100+M100</f>
        <v>-11.819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14.003</v>
      </c>
      <c r="G101" s="251">
        <f>+SUM(G99:G100)</f>
        <v>-11.819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14.003</v>
      </c>
      <c r="P101" s="380">
        <f>+SUM(P99:P100)</f>
        <v>-11.819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14.003</v>
      </c>
      <c r="G103" s="273">
        <f>+G91+G97+G101</f>
        <v>-11.819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14.003</v>
      </c>
      <c r="P103" s="397">
        <f>+P91+P97+P101</f>
        <v>-11.819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2.233</v>
      </c>
      <c r="G118" s="244">
        <f>+'Cash-Flow-2018-Leva'!G118/1000</f>
        <v>6.022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-2684.874</v>
      </c>
      <c r="M118" s="244">
        <f>+'Cash-Flow-2018-Leva'!M118/1000</f>
        <v>2300.245</v>
      </c>
      <c r="N118" s="483"/>
      <c r="O118" s="383">
        <f>+F118+I118+L118</f>
        <v>-2682.6409999999996</v>
      </c>
      <c r="P118" s="376">
        <f>+G118+J118+M118</f>
        <v>2306.267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2.233</v>
      </c>
      <c r="G120" s="277">
        <f>+SUM(G118:G119)</f>
        <v>6.022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-2684.874</v>
      </c>
      <c r="M120" s="277">
        <f>+SUM(M118:M119)</f>
        <v>2300.245</v>
      </c>
      <c r="N120" s="483"/>
      <c r="O120" s="398">
        <f>+SUM(O118:O119)</f>
        <v>-2682.6409999999996</v>
      </c>
      <c r="P120" s="399">
        <f>+SUM(P118:P119)</f>
        <v>2306.267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2.233</v>
      </c>
      <c r="G122" s="288">
        <f>+G108+G112+G116+G120</f>
        <v>6.022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-2684.874</v>
      </c>
      <c r="M122" s="288">
        <f>+M108+M112+M116+M120</f>
        <v>2300.245</v>
      </c>
      <c r="N122" s="483"/>
      <c r="O122" s="402">
        <f>+O108+O112+O116+O120</f>
        <v>-2682.6409999999996</v>
      </c>
      <c r="P122" s="409">
        <f>+P108+P112+P116+P120</f>
        <v>2306.267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-966.3</v>
      </c>
      <c r="G125" s="283">
        <f>+'Cash-Flow-2018-Leva'!G125/1000</f>
        <v>7544.384</v>
      </c>
      <c r="H125" s="293"/>
      <c r="I125" s="284">
        <f>+'Cash-Flow-2018-Leva'!I125/1000</f>
        <v>966.3</v>
      </c>
      <c r="J125" s="283">
        <f>+'Cash-Flow-2018-Leva'!J125/1000</f>
        <v>-7544.384</v>
      </c>
      <c r="K125" s="293"/>
      <c r="L125" s="284">
        <f>+'Cash-Flow-2018-Leva'!L125/1000</f>
        <v>-151.072</v>
      </c>
      <c r="M125" s="283">
        <f>+'Cash-Flow-2018-Leva'!M125/1000</f>
        <v>-3618.003</v>
      </c>
      <c r="N125" s="483"/>
      <c r="O125" s="378">
        <f t="shared" si="8"/>
        <v>-151.072</v>
      </c>
      <c r="P125" s="401">
        <f t="shared" si="8"/>
        <v>-3618.003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-282.714</v>
      </c>
      <c r="G126" s="283">
        <f>+'Cash-Flow-2018-Leva'!G126/1000</f>
        <v>-150.155</v>
      </c>
      <c r="H126" s="293"/>
      <c r="I126" s="284">
        <f>+'Cash-Flow-2018-Leva'!I126/1000</f>
        <v>14.537</v>
      </c>
      <c r="J126" s="283">
        <f>+'Cash-Flow-2018-Leva'!J126/1000</f>
        <v>150.155</v>
      </c>
      <c r="K126" s="293"/>
      <c r="L126" s="284">
        <f>+'Cash-Flow-2018-Leva'!L126/1000</f>
        <v>0</v>
      </c>
      <c r="M126" s="283">
        <f>+'Cash-Flow-2018-Leva'!M126/1000</f>
        <v>-3.105</v>
      </c>
      <c r="N126" s="483"/>
      <c r="O126" s="378">
        <f t="shared" si="8"/>
        <v>-268.177</v>
      </c>
      <c r="P126" s="401">
        <f t="shared" si="8"/>
        <v>-3.105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-1249.014</v>
      </c>
      <c r="G129" s="286">
        <f>+SUM(G124,G125,G126,G128)</f>
        <v>7394.229</v>
      </c>
      <c r="H129" s="293"/>
      <c r="I129" s="287">
        <f>+SUM(I124,I125,I126,I128)</f>
        <v>980.837</v>
      </c>
      <c r="J129" s="286">
        <f>+SUM(J124,J125,J126,J128)</f>
        <v>-7394.229</v>
      </c>
      <c r="K129" s="293"/>
      <c r="L129" s="287">
        <f>+SUM(L124,L125,L126,L128)</f>
        <v>-151.072</v>
      </c>
      <c r="M129" s="286">
        <f>+SUM(M124,M125,M126,M128)</f>
        <v>-3621.108</v>
      </c>
      <c r="N129" s="483"/>
      <c r="O129" s="403">
        <f>+SUM(O124,O125,O126,O128)</f>
        <v>-419.249</v>
      </c>
      <c r="P129" s="404">
        <f>+SUM(P124,P125,P126,P128)</f>
        <v>-3621.108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5754.215</v>
      </c>
      <c r="G131" s="271">
        <f>+'Cash-Flow-2018-Leva'!G131/1000</f>
        <v>4409.841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22064.199</v>
      </c>
      <c r="M131" s="271">
        <f>+'Cash-Flow-2018-Leva'!M131/1000</f>
        <v>23385.062</v>
      </c>
      <c r="N131" s="483"/>
      <c r="O131" s="382">
        <f aca="true" t="shared" si="9" ref="O131:P133">+F131+I131+L131</f>
        <v>27818.414</v>
      </c>
      <c r="P131" s="395">
        <f t="shared" si="9"/>
        <v>27794.903000000002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-3.8</v>
      </c>
      <c r="G132" s="283">
        <f>+'Cash-Flow-2018-Leva'!G132/1000</f>
        <v>-10.355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-3.8</v>
      </c>
      <c r="P132" s="401">
        <f t="shared" si="9"/>
        <v>-10.355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5676.471</v>
      </c>
      <c r="G133" s="283">
        <f>+'Cash-Flow-2018-Leva'!G133/1000</f>
        <v>5754.215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19228.253</v>
      </c>
      <c r="M133" s="283">
        <f>+'Cash-Flow-2018-Leva'!M133/1000</f>
        <v>22064.199</v>
      </c>
      <c r="N133" s="483"/>
      <c r="O133" s="378">
        <f t="shared" si="9"/>
        <v>24904.724000000002</v>
      </c>
      <c r="P133" s="401">
        <f t="shared" si="9"/>
        <v>27818.414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-73.9440000000006</v>
      </c>
      <c r="G134" s="291">
        <f>+G133-G131-G132</f>
        <v>1354.7289999999998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-2835.946</v>
      </c>
      <c r="M134" s="291">
        <f>+M133-M131-M132</f>
        <v>-1320.8630000000012</v>
      </c>
      <c r="N134" s="483"/>
      <c r="O134" s="411">
        <f>+O133-O131-O132</f>
        <v>-2909.8899999999985</v>
      </c>
      <c r="P134" s="412">
        <f>+P133-P131-P132</f>
        <v>33.86599999999861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26042018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Валерия Апостолова</cp:lastModifiedBy>
  <cp:lastPrinted>2018-01-03T17:05:49Z</cp:lastPrinted>
  <dcterms:created xsi:type="dcterms:W3CDTF">2015-12-01T07:17:04Z</dcterms:created>
  <dcterms:modified xsi:type="dcterms:W3CDTF">2018-04-24T13:37:04Z</dcterms:modified>
  <cp:category/>
  <cp:version/>
  <cp:contentType/>
  <cp:contentStatus/>
</cp:coreProperties>
</file>